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3"/>
  </bookViews>
  <sheets>
    <sheet name="prva strana" sheetId="1" r:id="rId1"/>
    <sheet name="opsti dio" sheetId="2" r:id="rId2"/>
    <sheet name="B.pr. i prim. za nef. im." sheetId="3" r:id="rId3"/>
    <sheet name="B.rash. i izdaci za nef. im." sheetId="4" r:id="rId4"/>
    <sheet name="Finansiranje" sheetId="5" r:id="rId5"/>
    <sheet name="Org" sheetId="6" r:id="rId6"/>
    <sheet name="Funkc. kl." sheetId="7" r:id="rId7"/>
  </sheets>
  <definedNames>
    <definedName name="_xlnm.Print_Titles" localSheetId="2">'B.pr. i prim. za nef. im.'!$1:$4</definedName>
    <definedName name="_xlnm.Print_Titles" localSheetId="3">'B.rash. i izdaci za nef. im.'!$1:$3</definedName>
    <definedName name="_xlnm.Print_Titles" localSheetId="4">'Finansiranje'!$1:$4</definedName>
    <definedName name="_xlnm.Print_Titles" localSheetId="1">'opsti dio'!$1:$4</definedName>
    <definedName name="_xlnm.Print_Titles" localSheetId="5">'Org'!$1:$4</definedName>
    <definedName name="_xlnm.Print_Area" localSheetId="2">'B.pr. i prim. za nef. im.'!$A$1:$J$103</definedName>
    <definedName name="_xlnm.Print_Area" localSheetId="3">'B.rash. i izdaci za nef. im.'!$A$1:$M$62</definedName>
    <definedName name="_xlnm.Print_Area" localSheetId="4">'Finansiranje'!$A$1:$N$42</definedName>
    <definedName name="_xlnm.Print_Area" localSheetId="6">'Funkc. kl.'!$A$1:$K$25</definedName>
    <definedName name="_xlnm.Print_Area" localSheetId="1">'opsti dio'!$A$1:$F$65</definedName>
    <definedName name="_xlnm.Print_Area" localSheetId="5">'Org'!$A$1:$R$457</definedName>
    <definedName name="_xlnm.Print_Area" localSheetId="0">'prva strana'!$A$1:$P$34</definedName>
  </definedNames>
  <calcPr fullCalcOnLoad="1"/>
</workbook>
</file>

<file path=xl/comments3.xml><?xml version="1.0" encoding="utf-8"?>
<comments xmlns="http://schemas.openxmlformats.org/spreadsheetml/2006/main">
  <authors>
    <author>Windows User</author>
  </authors>
  <commentList>
    <comment ref="K32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општа управа 200.000</t>
        </r>
      </text>
    </comment>
    <comment ref="K53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општа управа 18.000,00</t>
        </r>
      </text>
    </comment>
    <comment ref="K63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општинска управа 40.000,00</t>
        </r>
      </text>
    </comment>
    <comment ref="K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пј 170=50.000,00</t>
        </r>
      </text>
    </comment>
    <comment ref="K4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пј 170=66.000,00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G21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Втић 9.000,00 КМ умјесто 7.000,00;
Соц.рад 0,00 умјесто 3.400,00</t>
        </r>
      </text>
    </comment>
  </commentList>
</comments>
</file>

<file path=xl/sharedStrings.xml><?xml version="1.0" encoding="utf-8"?>
<sst xmlns="http://schemas.openxmlformats.org/spreadsheetml/2006/main" count="1028" uniqueCount="549">
  <si>
    <t>Трошкови репрезентације</t>
  </si>
  <si>
    <t>Помоћи појединцима</t>
  </si>
  <si>
    <t>Набавка опреме</t>
  </si>
  <si>
    <t>Накнаде трошкова запослених</t>
  </si>
  <si>
    <t>Број конта</t>
  </si>
  <si>
    <t>Порези на лична примања и приходе од самосталних дјелатности</t>
  </si>
  <si>
    <t>713111-112</t>
  </si>
  <si>
    <t>713113-114</t>
  </si>
  <si>
    <t>Порез на лична примања</t>
  </si>
  <si>
    <t>Порези на имовину</t>
  </si>
  <si>
    <t>Порез на промет производа</t>
  </si>
  <si>
    <t>Порез на промет услуга</t>
  </si>
  <si>
    <t>Порез на добитке од игара на срећу</t>
  </si>
  <si>
    <t>Приходи од земљишне ренте</t>
  </si>
  <si>
    <t>Административне таксе</t>
  </si>
  <si>
    <t>Општинске административне таксе</t>
  </si>
  <si>
    <t>Комуналне таксе</t>
  </si>
  <si>
    <t>Комуналне таксе за приређивање музичког програма у угоститељским објектима</t>
  </si>
  <si>
    <t>Комунална такса за коришћење рекламних паноа</t>
  </si>
  <si>
    <t>Комунална такса за коришћење слободних површина за кампове, постављање шатора или друге облике привременог коришћења</t>
  </si>
  <si>
    <t>Накнаде по разним основама</t>
  </si>
  <si>
    <t xml:space="preserve">Средства за финансирање посебних мјера заштите од пожара </t>
  </si>
  <si>
    <t>Приходи од пружања јавних услуга</t>
  </si>
  <si>
    <t xml:space="preserve">Новчане казне </t>
  </si>
  <si>
    <t>Остали непорески приходи</t>
  </si>
  <si>
    <t>ЈУ Центар за културу</t>
  </si>
  <si>
    <t>Трошкови текућег одржавања</t>
  </si>
  <si>
    <t xml:space="preserve">Главна група </t>
  </si>
  <si>
    <t>0111</t>
  </si>
  <si>
    <t>Трошкови  репрезентације</t>
  </si>
  <si>
    <t>0160</t>
  </si>
  <si>
    <t>Бруто плате запослених</t>
  </si>
  <si>
    <t>0912</t>
  </si>
  <si>
    <t>0922</t>
  </si>
  <si>
    <t>1090</t>
  </si>
  <si>
    <t>Финансирање Црвеног крста</t>
  </si>
  <si>
    <t>0810</t>
  </si>
  <si>
    <t>0820</t>
  </si>
  <si>
    <t>0740</t>
  </si>
  <si>
    <t>0830</t>
  </si>
  <si>
    <t>0620</t>
  </si>
  <si>
    <t>0180</t>
  </si>
  <si>
    <t>0660</t>
  </si>
  <si>
    <t>Крпање ударних рупа на улицама</t>
  </si>
  <si>
    <t>170-02 Програм текућег одржавања путева</t>
  </si>
  <si>
    <t>0451</t>
  </si>
  <si>
    <t>Трошкови санације ударних рупа</t>
  </si>
  <si>
    <t>Трошкови саобраћајне сигнализације</t>
  </si>
  <si>
    <t>0840</t>
  </si>
  <si>
    <t xml:space="preserve">Трошкови репрезентације </t>
  </si>
  <si>
    <t>Едукација пољопривредних произвођача</t>
  </si>
  <si>
    <t>0421</t>
  </si>
  <si>
    <t>Трошкови социјалне заштите</t>
  </si>
  <si>
    <t>Здравствена заштита</t>
  </si>
  <si>
    <t>Новчане помоћи</t>
  </si>
  <si>
    <t>Смјештај штићеника у породицу</t>
  </si>
  <si>
    <t>Проширени видови социјалне заштите</t>
  </si>
  <si>
    <t>Остала социјална заштита</t>
  </si>
  <si>
    <t>0921</t>
  </si>
  <si>
    <t>0911</t>
  </si>
  <si>
    <t>0320</t>
  </si>
  <si>
    <t>0170</t>
  </si>
  <si>
    <t>Набавка грађевинских објеката</t>
  </si>
  <si>
    <t>Накнада за кориштење комуналних добара од општег интереса - комунална накнада</t>
  </si>
  <si>
    <t>Број 
конта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</si>
  <si>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</si>
  <si>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</si>
  <si>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</si>
  <si>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</si>
  <si>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</si>
  <si>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</si>
  <si>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</si>
  <si>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</si>
  <si>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</si>
  <si>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Опште јавне услуге</t>
  </si>
  <si>
    <t>Одбрана</t>
  </si>
  <si>
    <t>Јавни ред и сигурност</t>
  </si>
  <si>
    <t>Економски послови</t>
  </si>
  <si>
    <t>Заштита човјекове околине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</si>
  <si>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</si>
  <si>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</si>
  <si>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</si>
  <si>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</si>
  <si>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</si>
  <si>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 xml:space="preserve">Укупни расходи за потрошачку
 јединицу бр.  00750140 </t>
  </si>
  <si>
    <t>Укупни расходи за потрошачку
 јединицу бр.  00750110</t>
  </si>
  <si>
    <t>Укупни расходи за потрошачку
 јединицу бр.  00750120</t>
  </si>
  <si>
    <t>Укупни расходи за потрошачку
 јединицу бр.  00750130</t>
  </si>
  <si>
    <t>Укупни расходи за потрошачку
 јединицу бр.  00750170</t>
  </si>
  <si>
    <t>Укупни расходи за потрошачку
 јединицу бр.  00750180</t>
  </si>
  <si>
    <t>Укупни расходи за потрошачку
 јединицу бр.  00750220</t>
  </si>
  <si>
    <t>Укупни расходи за потрошачку
 јединицу бр.  00750250</t>
  </si>
  <si>
    <t>Укупни расходи за потрошачку
 јединицу бр.  00750240</t>
  </si>
  <si>
    <t>Укупни расходи за потрошачку
 јединицу бр.  00750300</t>
  </si>
  <si>
    <t>Укупни расходи за потрошачку
 јединицу бр.  08150026</t>
  </si>
  <si>
    <t>Укупни расходи за потрошачку
 јединицу бр.  08150027</t>
  </si>
  <si>
    <t>Укупни расходи за потрошачку
 јединицу бр.  08180011</t>
  </si>
  <si>
    <t>Укупни расходи за потрошачку
 јединицу бр.  00750400</t>
  </si>
  <si>
    <t>Манифестације поводом обиљежавања Светог Саве (Светосавски бал и школска слава)</t>
  </si>
  <si>
    <t>ЈЗУ Дом здравља</t>
  </si>
  <si>
    <t>ЈП " Радио Прњавор "</t>
  </si>
  <si>
    <t>Удружење пензионера</t>
  </si>
  <si>
    <t>Накнаде одборника и чланова скупштинских комисија</t>
  </si>
  <si>
    <t>Чланарина у Савезу општина и градова</t>
  </si>
  <si>
    <t>Трошкови обештећења по судским пресудама и трошкови поступка</t>
  </si>
  <si>
    <t>Буџетска резерва</t>
  </si>
  <si>
    <t>Услуге из области информисања - медијско праћење</t>
  </si>
  <si>
    <t>Средства за једнократне помоћи</t>
  </si>
  <si>
    <t>Трошкови Комисије за преглед пројектне документације, технички пријем објеката и друге комисије</t>
  </si>
  <si>
    <t>Израда  регулационих и урбанистичких планова, пројеката, програма и студија</t>
  </si>
  <si>
    <t>Зимско одржавање лок. путева, улица, тротоара, тргова и др.</t>
  </si>
  <si>
    <t>Програм превентивне здравствене заштите становништва</t>
  </si>
  <si>
    <t>Трошкови противградне заштите</t>
  </si>
  <si>
    <t>Смјештај штићеника у установе социјалне заштите</t>
  </si>
  <si>
    <t>Додатак за помоћ и његу</t>
  </si>
  <si>
    <t>ЈУ Народна библиотека</t>
  </si>
  <si>
    <t>Средства за трошкове рада првостепене љекарске комисије за оцјену инвалидности</t>
  </si>
  <si>
    <t>Tрошкови мртвозорника</t>
  </si>
  <si>
    <t>Трошкови банкарских услуга</t>
  </si>
  <si>
    <t>Помоћ удружењима из области културе и осталим удружењима</t>
  </si>
  <si>
    <t>Помоћ удружењима националних мањина</t>
  </si>
  <si>
    <t>Индекс</t>
  </si>
  <si>
    <t xml:space="preserve">% учешћа </t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</si>
  <si>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општу управу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00750130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</si>
  <si>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финансије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00750140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</si>
  <si>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локални економски развој и
друштвене дјелатности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00750150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</si>
  <si>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просторно уређење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00750160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</si>
  <si>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стамбено- комуналне 
послове и инвестиције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00750170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</si>
  <si>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инспекцијске послове</t>
    </r>
    <r>
      <rPr>
        <sz val="9"/>
        <rFont val="Arial"/>
        <family val="2"/>
      </rPr>
      <t xml:space="preserve">
 </t>
    </r>
    <r>
      <rPr>
        <b/>
        <sz val="9"/>
        <rFont val="Arial"/>
        <family val="2"/>
      </rPr>
      <t xml:space="preserve">  Број: 00750220</t>
    </r>
  </si>
  <si>
    <r>
      <t xml:space="preserve">Назив и број потрошачке јединице:
</t>
    </r>
    <r>
      <rPr>
        <b/>
        <sz val="9"/>
        <rFont val="Arial"/>
        <family val="2"/>
      </rPr>
      <t>Служба за јавне набавке и заједничке послове
Број: 00750240</t>
    </r>
  </si>
  <si>
    <t>Програм коришћења новчаних средстава прикупљених од посебних водних накнада</t>
  </si>
  <si>
    <t>Израда елабората, студија, пројеката из намјенских средстава за воде</t>
  </si>
  <si>
    <t>Трошкови електричне енергије за јавну расвјету
(у граду и мјесним заједницама)</t>
  </si>
  <si>
    <t>3</t>
  </si>
  <si>
    <t>Средства за мјере превентивне здравствене заштите животиња</t>
  </si>
  <si>
    <t>% 
учешћа</t>
  </si>
  <si>
    <t>Камата на  кредит од 5.000.000,00 КМ</t>
  </si>
  <si>
    <t>Камата на кредит од 4.000.000,00 КМ</t>
  </si>
  <si>
    <t>Камата на  кредит од 500.000,00 КМ</t>
  </si>
  <si>
    <t>Камата на кредит од 3.000.000,00 КМ (ИРБ)</t>
  </si>
  <si>
    <t>Отплата дуга по кредиту од 3.000.000,00 КМ (ИРБ)</t>
  </si>
  <si>
    <t>Отплата дуга по кредиту од 500.000,00 КМ</t>
  </si>
  <si>
    <t>Трошкови хоризонталне и вертикалне сигнализације и одржавање семафора</t>
  </si>
  <si>
    <t>Трошкови одржавања спомен-обиљежја у мјесним заједницама</t>
  </si>
  <si>
    <t>Средства за финансирање мјесних заједница</t>
  </si>
  <si>
    <t>Расходи за лична примања</t>
  </si>
  <si>
    <t>Бруто накнаде трошкова запослених</t>
  </si>
  <si>
    <t>Расходи по основу коришћења роба и услуга</t>
  </si>
  <si>
    <t>Расходи по основу закупа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</si>
  <si>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</si>
  <si>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</si>
  <si>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</si>
  <si>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</si>
  <si>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</si>
  <si>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</si>
  <si>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услуге одржавања јавних површина и заштите животне средине</t>
  </si>
  <si>
    <t>Остали непоменути расходи</t>
  </si>
  <si>
    <t>Расходи финансирања и други финансијски трошкови</t>
  </si>
  <si>
    <t>Расходи по основу камата на примљене зајмове у земљи</t>
  </si>
  <si>
    <t>Расходи по основу камата на примљене зајмове из иностранства</t>
  </si>
  <si>
    <t>Трошкови сервисирања примљених зајмова</t>
  </si>
  <si>
    <t>Грантови</t>
  </si>
  <si>
    <t>Грантови у земљи</t>
  </si>
  <si>
    <t>Дознаке грађанима које се исплаћују из буџета Републике, општина и градова</t>
  </si>
  <si>
    <t>Дознаке пружаоцима услуга социјалне заштите које се исплаћују из буџета Републике, општина и градова</t>
  </si>
  <si>
    <t>Издаци за произведену сталну имовину</t>
  </si>
  <si>
    <t>Издаци за изградњу и прибављање зграда и објеката</t>
  </si>
  <si>
    <t>Издаци за инвестиционо одржавање, реконструкцију и адаптацију зграда и објеката</t>
  </si>
  <si>
    <t>Издаци за набавку постројења и опреме</t>
  </si>
  <si>
    <t>Издаци за отплату дугова</t>
  </si>
  <si>
    <t>Дознаке на име социјалне заштите које се исплаћују из буџета  општине</t>
  </si>
  <si>
    <t>Уговорене услуге - ИСО стандард</t>
  </si>
  <si>
    <t>Расходи за стручно усавршавање запослених</t>
  </si>
  <si>
    <t>Трошкови одржавања лиценци за трезорско пословање</t>
  </si>
  <si>
    <t>Помоћ основним школама</t>
  </si>
  <si>
    <t xml:space="preserve">Инвестиционо  одржавање, реконструкција и адаптација зграда и објеката  </t>
  </si>
  <si>
    <t>Инвестиционо  одржавање, реконструкција и адаптација зграда и објеката</t>
  </si>
  <si>
    <t>Издаци за отплату главнице примљених зајмова у земљи</t>
  </si>
  <si>
    <t>0941</t>
  </si>
  <si>
    <t>Порези на промет производа и услуга</t>
  </si>
  <si>
    <t>Приходи од финансијске и нефинансијске имовине</t>
  </si>
  <si>
    <t>Приходи од закупа и ренте</t>
  </si>
  <si>
    <t>Приходи од камата на готовину и готовинске еквиваленте</t>
  </si>
  <si>
    <t>Накнаде, таксе и приходи од пружања јавних услуга</t>
  </si>
  <si>
    <t>Комунална такса на остале предмете таксирања</t>
  </si>
  <si>
    <t>Примици за непроизведену сталну имовину</t>
  </si>
  <si>
    <t>Примици од продаје земљишта</t>
  </si>
  <si>
    <t>0630</t>
  </si>
  <si>
    <t>1040</t>
  </si>
  <si>
    <t>0474</t>
  </si>
  <si>
    <t>0490</t>
  </si>
  <si>
    <t>Примици од залиха робе</t>
  </si>
  <si>
    <t>Издаци за непроизведену сталну имовину</t>
  </si>
  <si>
    <t>Издаци за прибављање земљишта</t>
  </si>
  <si>
    <t>Издаци за залихе робе</t>
  </si>
  <si>
    <t>Трошкови премјера и успостављања катастра непокретности  и остале стручне услуге</t>
  </si>
  <si>
    <t>Геодетске и остале стручне услуге</t>
  </si>
  <si>
    <t>Расходи за стручне услуге Центра за културу</t>
  </si>
  <si>
    <t>Примици за произведену сталну имовину</t>
  </si>
  <si>
    <t>Грантови из земље</t>
  </si>
  <si>
    <t>Трошкови одржавања лок. путне мреже (набавка, превоз и уградња посипног материјала, гредер)</t>
  </si>
  <si>
    <t>Набавка грађевинског материјала за изградњу пропуста, мостова и других објеката</t>
  </si>
  <si>
    <t>Расходи поводом манифестација за празничне дане општине</t>
  </si>
  <si>
    <t>Субвенције</t>
  </si>
  <si>
    <t>Једнократне помоћи за треће и свако сљедеће новорођено дијете</t>
  </si>
  <si>
    <t>Подстицаји пољопривредним произвођачима</t>
  </si>
  <si>
    <r>
      <t>Назив и број потрошачке јединице:</t>
    </r>
    <r>
      <rPr>
        <b/>
        <sz val="9"/>
        <rFont val="Arial"/>
        <family val="2"/>
      </rPr>
      <t xml:space="preserve">
Трезор општине Прњавор број:  9999999</t>
    </r>
  </si>
  <si>
    <t>Укупни расходи за потрошачку
 јединицу бр.  9999999</t>
  </si>
  <si>
    <t>Средства за стипендије ученика и студената</t>
  </si>
  <si>
    <t>Регресирање камата на  пољопривредне кредите</t>
  </si>
  <si>
    <t>Трошкови уређења града за празничне дане</t>
  </si>
  <si>
    <t>Финансирање рада клубова одборника</t>
  </si>
  <si>
    <t>Трошкови вјенчања</t>
  </si>
  <si>
    <t>Средства за збрињавање и нешкодљиво одстрањивање паса луталица - азил</t>
  </si>
  <si>
    <t>0734</t>
  </si>
  <si>
    <t>Трошкови ископа, чишћења канала и других земљаних радова</t>
  </si>
  <si>
    <t>Порези на доходак</t>
  </si>
  <si>
    <t xml:space="preserve">Чланарина у Европском покрету у БиХ </t>
  </si>
  <si>
    <t xml:space="preserve">170-01 Програм заједничке комуналне потрошње </t>
  </si>
  <si>
    <t>Примици од продаје пословних простора и гаража</t>
  </si>
  <si>
    <t>Средства за организовање парастоса погинулим борцима ВРС у мјесним заједницама</t>
  </si>
  <si>
    <t>Помоћи вјерским заједницама (Заштита културно - историјског наслијеђа)</t>
  </si>
  <si>
    <t>Средства за пројекат "Дневна брига за старе"</t>
  </si>
  <si>
    <t>Помоћ пројектима за одржив повратак</t>
  </si>
  <si>
    <t>******</t>
  </si>
  <si>
    <t>Новчане помоћи које се финансирају из буџета РС</t>
  </si>
  <si>
    <t>Додатак за помоћ и његу који се финансира из буџета РС</t>
  </si>
  <si>
    <t>Здравствена заштита која се финансира из буџета РС</t>
  </si>
  <si>
    <t>%
учешћа</t>
  </si>
  <si>
    <t>Средства за санацију штета од елементарних непогода</t>
  </si>
  <si>
    <t>Борачка организација општине Прњавор</t>
  </si>
  <si>
    <t>Удружење РВИ општине Прњавор</t>
  </si>
  <si>
    <t>ОО породица заробљених и погинулих бораца и несталих цивила Прњавор</t>
  </si>
  <si>
    <t>Удружење СУБНОР-а</t>
  </si>
  <si>
    <t xml:space="preserve"> </t>
  </si>
  <si>
    <t>Средства за превоз ђака основних школа</t>
  </si>
  <si>
    <t>Подкат-
егорија</t>
  </si>
  <si>
    <t>О П И С</t>
  </si>
  <si>
    <t>Плакете, повеље, награде и признања општине</t>
  </si>
  <si>
    <t>Трошкови чишћења улица, тротоара и зелeних површина са одвозом прикупљеног отпада, трошкови прања улица и тротоара, кошења зелених површина са одвозом покошене траве, шишања живих ограда са одвозом прикупљеног отпада и ванредни комунални послови по наруџби (сјечење растиња, одржавање дрвореда и сл.)</t>
  </si>
  <si>
    <t>Остали комунални послови по наруџби (саднице,  канали, уређење зелених површина, објекти на путу, чишћење сливника, одржавање јавних извора и др.)</t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</si>
  <si>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пољопривреду, 
водопривреду и шумарство
Број: 00750250</t>
    </r>
  </si>
  <si>
    <t>Укупни расходи за потрошачку
 јединицу бр. 00750190</t>
  </si>
  <si>
    <t>УКУПНИ РАСХОДИ И ИЗДАЦИ:</t>
  </si>
  <si>
    <t>Укупни расходи за потрошачку
 јединицу бр. 00750150</t>
  </si>
  <si>
    <t>Финансирање политичких партија</t>
  </si>
  <si>
    <t>Финансирање Општинске изборне комисије</t>
  </si>
  <si>
    <r>
      <t xml:space="preserve">Назив и број потрошачке јединице:
</t>
    </r>
    <r>
      <rPr>
        <b/>
        <sz val="9"/>
        <rFont val="Arial"/>
        <family val="2"/>
      </rPr>
      <t>Скупштина општине и стручна служба СО-е
Број: 00750110</t>
    </r>
  </si>
  <si>
    <r>
      <t xml:space="preserve">Назив и број потрошачке јединице:
</t>
    </r>
    <r>
      <rPr>
        <b/>
        <sz val="9"/>
        <rFont val="Arial"/>
        <family val="2"/>
      </rPr>
      <t>Кабинет начелника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00750120</t>
    </r>
  </si>
  <si>
    <t>Средства за пројекат "Дневни центар за дјецу и омладину ометену у физичком и психичком развоју" Прњавор</t>
  </si>
  <si>
    <t>Укупни расходи за потрошачку
 јединицу бр. 00750160</t>
  </si>
  <si>
    <t>Трошкови камате за робни кредит Краљевине Шпаније</t>
  </si>
  <si>
    <t>Фун. 
код</t>
  </si>
  <si>
    <t>Н А З И В     Ф У Н К Ц И Ј Е</t>
  </si>
  <si>
    <t xml:space="preserve"> I  ПОРЕСКИ ПРИХОДИ</t>
  </si>
  <si>
    <t>Порез на приходе од пољопривреде и шумарства</t>
  </si>
  <si>
    <t>Порез на приходе од обављања самосталне дјелатности</t>
  </si>
  <si>
    <t xml:space="preserve"> II  НЕПОРЕСКИ ПРИХОДИ</t>
  </si>
  <si>
    <t>Приход од закупнине земљишта</t>
  </si>
  <si>
    <t xml:space="preserve">Приходи од камата на депозитна средства </t>
  </si>
  <si>
    <t>Накнада за коришћење минералних сировина</t>
  </si>
  <si>
    <t>Накнада за промјену намјене пољопривредног земљишта</t>
  </si>
  <si>
    <t xml:space="preserve">Новчане казне изречене у прекршајном поступку за прекршаје прописане актом СО-е </t>
  </si>
  <si>
    <t xml:space="preserve"> III  ГРАНТОВИ</t>
  </si>
  <si>
    <t xml:space="preserve">Средства из буџета Републике Српске  за провођење Закона о социјалној заштити </t>
  </si>
  <si>
    <t xml:space="preserve"> I  ПРИМИЦИ ЗА НЕФИНАНСИЈСКУ ИМОВИНУ</t>
  </si>
  <si>
    <t>Трошкови текућег одржавања објеката у мјесним заједницама</t>
  </si>
  <si>
    <t>Трошкови обиљежавања значајних датума у мјесним заједницама</t>
  </si>
  <si>
    <t>Издаци за инвестиционо одржавање опреме</t>
  </si>
  <si>
    <t>Комунална такса за коришћење простора за паркирање моторних, друмских и прикључних возила на уређеним и обиљеженим мјестима која је за то одредила скупштина општине</t>
  </si>
  <si>
    <t>Издаци за прибављање земљишта (потпуна експропријација)</t>
  </si>
  <si>
    <r>
      <t xml:space="preserve">Средства за једнократне помоћи - </t>
    </r>
    <r>
      <rPr>
        <b/>
        <sz val="9"/>
        <rFont val="Arial"/>
        <family val="2"/>
      </rPr>
      <t>буџетска резерва</t>
    </r>
  </si>
  <si>
    <r>
      <t xml:space="preserve">ЈП " Радио Прњавор " - </t>
    </r>
    <r>
      <rPr>
        <b/>
        <sz val="9"/>
        <rFont val="Arial"/>
        <family val="2"/>
      </rPr>
      <t>буџетска резерва</t>
    </r>
  </si>
  <si>
    <r>
      <t xml:space="preserve">Помоћи вјерским заједницама (Заштита културно - историјског наслијеђа) - </t>
    </r>
    <r>
      <rPr>
        <b/>
        <sz val="9"/>
        <rFont val="Arial"/>
        <family val="2"/>
      </rPr>
      <t>буџетска резерва</t>
    </r>
  </si>
  <si>
    <r>
      <t xml:space="preserve">Помоћ удружењима из области културе и осталим удружењима - </t>
    </r>
    <r>
      <rPr>
        <b/>
        <sz val="9"/>
        <rFont val="Arial"/>
        <family val="2"/>
      </rPr>
      <t>буџетска резерва</t>
    </r>
  </si>
  <si>
    <r>
      <t xml:space="preserve">Помоћ основним школама - </t>
    </r>
    <r>
      <rPr>
        <b/>
        <sz val="9"/>
        <rFont val="Arial"/>
        <family val="2"/>
      </rPr>
      <t>буџетска резерва</t>
    </r>
  </si>
  <si>
    <r>
      <t xml:space="preserve">Трошкови обиљежавања значајних датума у мјесним заједницама - </t>
    </r>
    <r>
      <rPr>
        <b/>
        <sz val="9"/>
        <rFont val="Arial"/>
        <family val="2"/>
      </rPr>
      <t>буџетска резерва</t>
    </r>
  </si>
  <si>
    <t>Приходи од давања у закуп општинских пословних простора</t>
  </si>
  <si>
    <t>Трошкови закупнине паркинг простора</t>
  </si>
  <si>
    <t>Трошкови провизије за електронску наплату паркинга</t>
  </si>
  <si>
    <t>Трошкови услуга контроле и наплате комуналне таксе за паркирање возила</t>
  </si>
  <si>
    <t>Накнада за обављање послова од општег интереса у шумама у приватној својини</t>
  </si>
  <si>
    <t>Набавка материјала за МЗ</t>
  </si>
  <si>
    <t>Накнаде за воде - посебне водне накнаде 
(722442-722448, 722457, 722463, 722464, 722469)</t>
  </si>
  <si>
    <r>
      <t xml:space="preserve">Назив и број потрошачке јединице:
</t>
    </r>
    <r>
      <rPr>
        <b/>
        <sz val="9"/>
        <rFont val="Arial"/>
        <family val="2"/>
      </rPr>
      <t>ЈУ Центар средњих школа "Иво Андрић" Прњавор
Број: 08150027</t>
    </r>
  </si>
  <si>
    <t>Камата на кредит од 2.500.000,00 КМ</t>
  </si>
  <si>
    <t>Отплата дуга по кредиту од 2.500.000,00 КМ</t>
  </si>
  <si>
    <t>ЈУ Центар средњих школа "Иво Андрић" Прњавор</t>
  </si>
  <si>
    <t>Приходи општинских органа управе (ветеринарско-санитарна увјерења и надзор, посебне накнаде у области опште управе - овјере потписа и преписа,  еколошке дозволе и сл.)</t>
  </si>
  <si>
    <t>Средства за обиљежавање значајних датума у области борачко-инвалидске заштите</t>
  </si>
  <si>
    <t>Средства за остале трошкове обиљежавања значајних датума (за трошкове вијенаца, цвијећа, свијећа и др.)</t>
  </si>
  <si>
    <t>Изградња и реконструкција објеката водоснабдијевања (базени, цјевоводи, изворишта, чесме и др.) из намјенских средстава за воде</t>
  </si>
  <si>
    <t>Средства за набавку уџбеника и за остале организоване активности за дјецу бораца ВРС и РВИ</t>
  </si>
  <si>
    <t>Поклон пакети за дјецу нижег узраста</t>
  </si>
  <si>
    <t>Једнократне новчане помоћи појединцима из борачке популације</t>
  </si>
  <si>
    <t>Трошкови непотпуне експропријације, процјене, вјештачења, накнаде штета и слично</t>
  </si>
  <si>
    <t>ЈУ Гимназија Прњавор</t>
  </si>
  <si>
    <t>Средства за подстицај и развој спорта</t>
  </si>
  <si>
    <t>Покровитељство општине за реализацију научних, културних и спортских манифестација од значаја за општину Прњавор</t>
  </si>
  <si>
    <t>Трошкови одржавања јавне расвјете
(у граду и мјесним заједницама)</t>
  </si>
  <si>
    <t>Средства за  спомен собу посвећену одбрамбено-отаџбинском рату РС 1991-1995. године</t>
  </si>
  <si>
    <t>Издаци за залихе ситног инвентара, ауто-гума, одјеће, обуће и сл.</t>
  </si>
  <si>
    <t>Трошкови одржавања локалне путне мреже (уређење путног појаса, ископи, бетонски, армирано-бетонски и асфалтни радови)</t>
  </si>
  <si>
    <r>
      <t>Назив и број потрошачке јединице:</t>
    </r>
    <r>
      <rPr>
        <b/>
        <sz val="9"/>
        <rFont val="Arial"/>
        <family val="2"/>
      </rPr>
      <t xml:space="preserve">
Остала буџетска потрошња 
Број:  00750190</t>
    </r>
  </si>
  <si>
    <t>Мјере за побољшање демографске ситуације (вантјелесна оплодња и сл.)</t>
  </si>
  <si>
    <t>Изградња водопривредних објеката-брана, мостова, воденица и сл. из намјенских средстава  за воде</t>
  </si>
  <si>
    <t>Функц. код</t>
  </si>
  <si>
    <t xml:space="preserve"> A) БУЏЕТСКИ ПРИХОДИ ( I+II+III+IV ) </t>
  </si>
  <si>
    <t xml:space="preserve"> I ТЕКУЋИ РАСХОДИ </t>
  </si>
  <si>
    <t xml:space="preserve"> В) БРУТО БУЏЕТСКИ СУФИЦИТ/ДЕФИЦИТ ( А-Б ) </t>
  </si>
  <si>
    <t xml:space="preserve"> Г) НЕТО ИЗДАЦИ ЗА НЕФИНАНСИЈСКУ ИМОВИНУ (I-II)</t>
  </si>
  <si>
    <t>Примици од залиха материјала, учинaка, робе и ситног инвентара, амбалаже и сл.</t>
  </si>
  <si>
    <t>II ИЗДАЦИ ЗА НЕФИНАНСИЈСКУ ИМОВИНУ</t>
  </si>
  <si>
    <t xml:space="preserve"> Д) БУЏЕТСКИ СУФИЦИТ/ДЕФИЦИТ (В+Г)</t>
  </si>
  <si>
    <t xml:space="preserve"> Е) НЕТО ПРИМИЦИ ОД ФИНАНСИЈСКЕ ИМОВИНЕ (I-II)</t>
  </si>
  <si>
    <t>I ПРИМИЦИ ОД ФИНАНСИЈСКЕ ИМОВИНЕ</t>
  </si>
  <si>
    <t>Примици од финансијске имовине</t>
  </si>
  <si>
    <t>II ИЗДАЦИ ЗА ФИНАНСИЈСКУ ИМОВИНУ</t>
  </si>
  <si>
    <t>Издаци за финансијску имовину</t>
  </si>
  <si>
    <t xml:space="preserve"> Ж) НЕТО ЗАДУЖИВАЊЕ (I-II)</t>
  </si>
  <si>
    <t>I ПРИМИЦИ ОД КРАТКОРОЧНОГ И ДУГОРОЧНОГ ЗАДУЖИВАЊА</t>
  </si>
  <si>
    <t>Примици од краткорочног и дугорочног задуживања</t>
  </si>
  <si>
    <t>II ИЗДАЦИ ЗА ОТПЛАТУ ДУГОВА</t>
  </si>
  <si>
    <t xml:space="preserve"> А) НЕТО ПРИМИЦИ ОД ФИНАНСИЈСКЕ ИМОВИНЕ  ( I-II )</t>
  </si>
  <si>
    <t>I ПРИМИЦИ ОД ЗАДУЖИВАЊА</t>
  </si>
  <si>
    <t xml:space="preserve"> Б)  ПРИМИЦИ ЗА НЕФИНАНСИЈСКУ ИМОВИНУ</t>
  </si>
  <si>
    <t xml:space="preserve">В) УКУПНИ БУЏЕТСКИ ПРИХОДИ И ПРИМИЦИ ЗА НЕФИНАНСИЈСКУ ИМОВИНУ ( А+Б ) </t>
  </si>
  <si>
    <t>В) УКУПНИ  БУЏЕТСКИ РАСХОДИ 
    И  ИЗДАЦИ ЗА НЕФИНАНСИЈСКУ ИМОВИНУ ( А+Б )</t>
  </si>
  <si>
    <r>
      <t xml:space="preserve">Назив и број потрошачке јединице:
</t>
    </r>
    <r>
      <rPr>
        <b/>
        <sz val="9"/>
        <rFont val="Arial"/>
        <family val="2"/>
      </rPr>
      <t xml:space="preserve">Територијална ватрогасна јединица Прњавор
Број: 00750125 </t>
    </r>
  </si>
  <si>
    <t>Расходи за лична примања запослених у Општинској управи</t>
  </si>
  <si>
    <t>Расходи за стручно усавршавање запослених Општинске управе</t>
  </si>
  <si>
    <t>Расходи за стручне услуге Општинске управе</t>
  </si>
  <si>
    <t>Остали непоменути расходи Општинске управе</t>
  </si>
  <si>
    <t>Укупни расходи за потрошачку
 јединицу бр.  00750125</t>
  </si>
  <si>
    <t>****</t>
  </si>
  <si>
    <t xml:space="preserve">             Предлагач: Нaчелник општине</t>
  </si>
  <si>
    <t xml:space="preserve">                     Обрађивач: Одјељење за финансије</t>
  </si>
  <si>
    <r>
      <rPr>
        <sz val="9"/>
        <rFont val="Arial"/>
        <family val="2"/>
      </rPr>
      <t>Назив и број потрошачке јединице:</t>
    </r>
    <r>
      <rPr>
        <b/>
        <sz val="9"/>
        <rFont val="Arial"/>
        <family val="2"/>
      </rPr>
      <t xml:space="preserve">
ЈУ Народна библиотека Прњавор
Број: 08180068</t>
    </r>
  </si>
  <si>
    <t>Укупни расходи за потрошачку 
јединицу бр. 08180068</t>
  </si>
  <si>
    <t>Уређење корита ријека и потока из намјенских средстава за воде</t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</si>
  <si>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борачко-инвалидску заштиту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00750180</t>
    </r>
  </si>
  <si>
    <t>Средства за обуку структура заштите и спасавања</t>
  </si>
  <si>
    <t>Набавка опреме - цивилна заштита</t>
  </si>
  <si>
    <r>
      <t xml:space="preserve">Расходи за стручне услуге (извршење рјешења,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мониторинг загађујућих материја у животној средини)</t>
    </r>
  </si>
  <si>
    <t xml:space="preserve">Средства за имплементацију и суфинансирање пројеката предвиђених Стратегијом развоја општине Прњавор 2012-2020. година </t>
  </si>
  <si>
    <t>Средства за такмичење ученика</t>
  </si>
  <si>
    <t>Средства за одржавање Фестивала националних мањина "Мала Европа" Прњавор</t>
  </si>
  <si>
    <t>Удружење Вукова са Вучијака</t>
  </si>
  <si>
    <t>Б) НЕТО ЗАДУЖИВАЊЕ ( I-II )</t>
  </si>
  <si>
    <t>5</t>
  </si>
  <si>
    <r>
      <t xml:space="preserve">Борачка организација општине Прњавор - </t>
    </r>
    <r>
      <rPr>
        <b/>
        <sz val="9"/>
        <rFont val="Arial"/>
        <family val="2"/>
      </rPr>
      <t>буџетска резерва</t>
    </r>
  </si>
  <si>
    <r>
      <t xml:space="preserve">Расходи за стручне услуге Центра за културу - </t>
    </r>
    <r>
      <rPr>
        <b/>
        <sz val="9"/>
        <rFont val="Arial"/>
        <family val="2"/>
      </rPr>
      <t>буџетска резерва</t>
    </r>
  </si>
  <si>
    <t>Издаци за залихе материјала, робе и ситног инвентара, 
амбалаже и сл.</t>
  </si>
  <si>
    <t>Концесионе накнаде за коришћење природних и других добара од општег интереса</t>
  </si>
  <si>
    <t>Накнада за уређивање грађевинског земљишта</t>
  </si>
  <si>
    <t>Накнада за коришћење шума и шумског земљишта - средства за развој неразвијених дијелова општине остварена продајом шумских сортимената</t>
  </si>
  <si>
    <t>Комунална такса на фирму</t>
  </si>
  <si>
    <t>Комунална такса за коришћење простора на јавним површинама или испред пословног  простора у пословне сврхе</t>
  </si>
  <si>
    <t>Комунална такса за коришћење витрина за излагање роба ван пословне просторије</t>
  </si>
  <si>
    <r>
      <t xml:space="preserve">Остали непоменути расходи Општинске управе - </t>
    </r>
    <r>
      <rPr>
        <b/>
        <sz val="9"/>
        <rFont val="Arial"/>
        <family val="2"/>
      </rPr>
      <t>буџетска резерва</t>
    </r>
  </si>
  <si>
    <t>Издаци за залихе материјала, робе и ситног инвентара</t>
  </si>
  <si>
    <t>Издаци за залихе ситног инвентара, одјеће и обуће</t>
  </si>
  <si>
    <t>Средства за обављање послова из области цивилне заштите</t>
  </si>
  <si>
    <t>Помоћ у реализацији пројеката заједница етажних власника</t>
  </si>
  <si>
    <t>Средства за изградњу споменика погинулим борцима и израду главних пројеката</t>
  </si>
  <si>
    <t>Манифестације - изложбе из области пољопривреде</t>
  </si>
  <si>
    <t xml:space="preserve">Грантови добровољним ватрогасним друштвима општине Прњавор </t>
  </si>
  <si>
    <t>Изградња и реконструкција градских улица, путне и канализационе мреже, школских и других објеката,  јавне расвјете, и израда и ревизија пројектне документације</t>
  </si>
  <si>
    <t>Плакете, повеље, награде и признања Начелника општине</t>
  </si>
  <si>
    <t>170-03 Програм капиталних инвестиција</t>
  </si>
  <si>
    <t>*******</t>
  </si>
  <si>
    <t>Примици од зајмова узетих од банака</t>
  </si>
  <si>
    <t>Издаци за отплату неизмирених обавеза из ранијих година</t>
  </si>
  <si>
    <t>Инвестиционо одржавање опреме</t>
  </si>
  <si>
    <t>Издаци за отплату осталих дугова</t>
  </si>
  <si>
    <t>Текући грантови из земље</t>
  </si>
  <si>
    <t>Расходи за организацију регионалних такмичења из средстава дозначених од Министарства породице, омладине и спорта</t>
  </si>
  <si>
    <r>
      <t xml:space="preserve">Назив и број потрошачке јединице:
</t>
    </r>
    <r>
      <rPr>
        <b/>
        <sz val="9"/>
        <rFont val="Arial"/>
        <family val="2"/>
      </rPr>
      <t>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Гимназија Прњавор
Број: 08150026</t>
    </r>
  </si>
  <si>
    <r>
      <t xml:space="preserve">Назив и број потрошачке јединице:
</t>
    </r>
    <r>
      <rPr>
        <b/>
        <sz val="9"/>
        <rFont val="Arial"/>
        <family val="2"/>
      </rPr>
      <t>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Центар за социјални рад Прњавор
Број: 00750300</t>
    </r>
  </si>
  <si>
    <r>
      <t xml:space="preserve">Назив и број потрошачке јединице:
</t>
    </r>
    <r>
      <rPr>
        <b/>
        <sz val="9"/>
        <rFont val="Arial"/>
        <family val="2"/>
      </rPr>
      <t>ЈУ Центар за културу Прњавор
Број: 08180011</t>
    </r>
  </si>
  <si>
    <r>
      <t xml:space="preserve">Назив и број потрошачке јединице:
</t>
    </r>
    <r>
      <rPr>
        <b/>
        <sz val="9"/>
        <rFont val="Arial"/>
        <family val="2"/>
      </rPr>
      <t>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Дјечији вртић " Наша радост" Прњавор
Број: 00750400</t>
    </r>
  </si>
  <si>
    <t>Борачка организација општине Прњавор - финансирање обавеза из ранијег периода</t>
  </si>
  <si>
    <t>Издаци за залихе материјала, робе и ситног инвентара, амбалаже и сл.</t>
  </si>
  <si>
    <r>
      <t xml:space="preserve">Финансирање Црвеног крста - </t>
    </r>
    <r>
      <rPr>
        <b/>
        <sz val="9"/>
        <rFont val="Arial"/>
        <family val="2"/>
      </rPr>
      <t>буџетска резерва</t>
    </r>
  </si>
  <si>
    <r>
      <t xml:space="preserve">Расходи поводом манифестација за празничне дане општине - </t>
    </r>
    <r>
      <rPr>
        <b/>
        <sz val="9"/>
        <rFont val="Arial"/>
        <family val="2"/>
      </rPr>
      <t>буџетска резерва</t>
    </r>
  </si>
  <si>
    <r>
      <t xml:space="preserve">Расходи по основу путовања и смјештаја - </t>
    </r>
    <r>
      <rPr>
        <b/>
        <sz val="9"/>
        <rFont val="Arial"/>
        <family val="2"/>
      </rPr>
      <t>буџетска резерва</t>
    </r>
  </si>
  <si>
    <t>Неутрошене примљене донације од Савјета Европе за пројекат "Унапређење учења мањинских језика на подручју општине Прњавор"</t>
  </si>
  <si>
    <t>Неутрошене примљене донације од Федералног министарства расељених особа и избјеглица за изградњу дијела улице Војоводе Мишића</t>
  </si>
  <si>
    <t>Неутрошена намјенска средства од посебних накнада за воде из ранијих година</t>
  </si>
  <si>
    <t>Неутрошена намјенска средства за финансирање посебних мјера заштите од пожара из ранијих година</t>
  </si>
  <si>
    <t>Издаци за потенцијалне обавезе по основу издатих гаранција</t>
  </si>
  <si>
    <t>Трошкови провођења избора за чланове Савјета мјесних заједница</t>
  </si>
  <si>
    <t>Камата на кредит од 300.000,00 КМ</t>
  </si>
  <si>
    <t>Отплата дуга по кредиту од 300.000,00 КМ</t>
  </si>
  <si>
    <t>Средства за оперативно спровођење мјера и активности цивилне заштите у систему заштите и спасавања</t>
  </si>
  <si>
    <t>Средства за трошкове превоза породица погинулих бораца и РВИ (Програм бањске рехабилитације и обиљежавања значајних датума)</t>
  </si>
  <si>
    <t>План утрошка новчаних средстава која потичу од прихода од посебних намјена за шуме</t>
  </si>
  <si>
    <t>Текуће одржавање путева на руралним подручјима општине са којих потичу дрвни сортименти</t>
  </si>
  <si>
    <r>
      <t xml:space="preserve">Трошкови репрезентације- </t>
    </r>
    <r>
      <rPr>
        <b/>
        <sz val="9"/>
        <rFont val="Arial"/>
        <family val="2"/>
      </rPr>
      <t>буџетска резерва</t>
    </r>
  </si>
  <si>
    <t>ЈУ Дјечији вртић "Наша радост"</t>
  </si>
  <si>
    <t>ЈУ Центар за социјални рад</t>
  </si>
  <si>
    <t>Индиректни порези прикупљени преко УИО</t>
  </si>
  <si>
    <t>Остали порески приходи</t>
  </si>
  <si>
    <t xml:space="preserve"> IV  ТРАНСФЕРИ ИЗМЕЂУ ИЛИ УНУТАР ЈЕДИНИЦА ВЛАСТИ</t>
  </si>
  <si>
    <t>Трансфери између  различитих јединица власти</t>
  </si>
  <si>
    <t>Расходи финансирања, други финансијски трошкови и расходи трансакција размјене између или унутар јединица власти</t>
  </si>
  <si>
    <t>Расходи по судским рјешењима</t>
  </si>
  <si>
    <t xml:space="preserve"> Б) БУЏЕТСКИ РАСХОДИ ( I+II+III) </t>
  </si>
  <si>
    <t xml:space="preserve"> III БУЏЕТСКА РЕЗЕРВА</t>
  </si>
  <si>
    <t>II ТРАНСФЕРИ ИЗМЕЂУ И УНУТАР ЈЕДИНИЦА ВЛАСТИ</t>
  </si>
  <si>
    <t xml:space="preserve"> Ђ) НЕТО ФИНАНСИРАЊЕ (Е+Ж+З+И)</t>
  </si>
  <si>
    <t>З) ОСТАЛИ НЕТО ПРИМИЦИ (I-II)</t>
  </si>
  <si>
    <t>I) ОСТАЛИ ПРИМИЦИ</t>
  </si>
  <si>
    <t>Остали примици</t>
  </si>
  <si>
    <t>II) ОСТАЛИ ИЗДАЦИ</t>
  </si>
  <si>
    <t>Остали издаци</t>
  </si>
  <si>
    <t>Ј) РАЗЛИКА У ФИНАНСИРАЊУ (Д+Ђ)</t>
  </si>
  <si>
    <t>И) РАСПОДЈЕЛА СУФИЦИТА ИЗ РАНИЈИХ ПЕРИОДА</t>
  </si>
  <si>
    <t>Трансфери између  различитих јединица 
власти</t>
  </si>
  <si>
    <t>Расходи за бруто плате запослених</t>
  </si>
  <si>
    <t>Расходи за накнаду плата запослених за вријеме боловања (бруто)</t>
  </si>
  <si>
    <t>Расходи за отпремнине и једнократне помоћи (бруто)</t>
  </si>
  <si>
    <t>Остали издаци из трансакција између или унутар јединица власти</t>
  </si>
  <si>
    <t>Издаци за накнаде плата за породиљско одсуство и за вријеме боловања који се рефундирају од фондова обавезног социјалног осигурања</t>
  </si>
  <si>
    <t xml:space="preserve"> Изградња и реконструкција инфраструктуре и других објеката на руралним подручјима општине са којих потичу дрвни сортименти</t>
  </si>
  <si>
    <t>Расходи за лична примања запослених</t>
  </si>
  <si>
    <t>Расходи за бруто накнаде трошкова и осталих личних примања запослених по основу рада</t>
  </si>
  <si>
    <t>Остали некласификовани расходи</t>
  </si>
  <si>
    <t>Трансфери фондовима обавезног социјалног осигурања</t>
  </si>
  <si>
    <t xml:space="preserve"> II ТРАНСФЕРИ ИЗМЕЂУ И УНУТАР ЈЕДИНИЦА ВЛАСТИ</t>
  </si>
  <si>
    <t>А)  БУЏЕТСКИ РАСХОДИ  ( I + II + III )</t>
  </si>
  <si>
    <t>В) ОСТАЛИ НЕТО ПРИМИЦИ  (I-II )</t>
  </si>
  <si>
    <t>I ОСТАЛИ ПРИМИЦИ</t>
  </si>
  <si>
    <t>II ОСТАЛИ ИЗДАЦИ</t>
  </si>
  <si>
    <t>Примици за накнаде плата за породиљско одсуство и за вријеме боловања који се рефундирају од фондова обавезног социјалног осигурања</t>
  </si>
  <si>
    <t>ФИНАНСИРАЊЕ (А+Б+В+Г)</t>
  </si>
  <si>
    <t>Г) РАСПОДЈЕЛА СУФИЦИТА ИЗ РАНИЈИХ ПЕРИОДА</t>
  </si>
  <si>
    <t>УКУПНО:</t>
  </si>
  <si>
    <t xml:space="preserve"> I ТЕКУЋИ РАСХОДИ</t>
  </si>
  <si>
    <t xml:space="preserve"> Б) ИЗДАЦИ ЗА НЕФИНАНСИЈСКУ ИМОВИНУ </t>
  </si>
  <si>
    <t>Расходи по основу дневница за службена путовања</t>
  </si>
  <si>
    <t>Расходи по основу путовања и смјештаја Општинске управе</t>
  </si>
  <si>
    <t>Порези на имовину - порез на непокретности</t>
  </si>
  <si>
    <t>Остали општински непорески приходи (накнадa за комисију за издавање употребне дозволе, накнаде за вјенчања и др.)</t>
  </si>
  <si>
    <t>Приходи од пореза на додату вриједност</t>
  </si>
  <si>
    <t>Трансфери осталим јединицама власти</t>
  </si>
  <si>
    <t>Трансфери између различитих јединица власти</t>
  </si>
  <si>
    <t>Трансфер Министарства здравља и социјалне заштите РС Центру за социјални рад за право на подршку у изједначавању могућности дјеце и омладине са сметњама у развоју</t>
  </si>
  <si>
    <t>Помоћ од Министарства просвјете и културе РС Дјечијем вртићу "Наша радост" за програм припреме дјеце за полазак у школу</t>
  </si>
  <si>
    <t>Расходи по основу закупа објекта "Школе за основно музичко образовање" Прњавор</t>
  </si>
  <si>
    <t>Финансирање Кола српских сестара Прњавор</t>
  </si>
  <si>
    <t>Финансирање СРД "Укрински цвијет" Прњавор</t>
  </si>
  <si>
    <t>Финансирање Општинске организације слијепих  Прњавор</t>
  </si>
  <si>
    <t>0860</t>
  </si>
  <si>
    <t xml:space="preserve">Удружење грађана  "Ветерани Републике Српске" </t>
  </si>
  <si>
    <t>Посебна републичка такса на нафтне деривате</t>
  </si>
  <si>
    <t>Финансирање дијела трошкова изборне кампање политичких субјеката</t>
  </si>
  <si>
    <t>Грант Федералног министарства расељених особа и избјеглица на име реализовања Програма помоћи у обављању приправничког стажа</t>
  </si>
  <si>
    <t>Остали непоменути расходи Општинске управе - средства Федералног министарства расељених особа и избјеглица на име реализовања Програма помоћи у обављању приправничког стажа</t>
  </si>
  <si>
    <t>ЗУ</t>
  </si>
  <si>
    <t>Заједничке услуге</t>
  </si>
  <si>
    <t>ИУ</t>
  </si>
  <si>
    <t>Индивидуалне услуге</t>
  </si>
  <si>
    <t>Финансирање</t>
  </si>
  <si>
    <t>Кредит</t>
  </si>
  <si>
    <t>Неутрошене примљене помоћи</t>
  </si>
  <si>
    <t>Укупна буџетска средства</t>
  </si>
  <si>
    <r>
      <t xml:space="preserve">Плакете, повеље, награде и признања Начелника општине - </t>
    </r>
    <r>
      <rPr>
        <b/>
        <sz val="9"/>
        <rFont val="Arial"/>
        <family val="2"/>
      </rPr>
      <t>буџетска резерва</t>
    </r>
  </si>
  <si>
    <r>
      <t xml:space="preserve">Покровитељство општине за реализацију научних, културних и спортских манифестација од значаја за општину Прњавор - </t>
    </r>
    <r>
      <rPr>
        <b/>
        <sz val="9"/>
        <rFont val="Arial"/>
        <family val="2"/>
      </rPr>
      <t>буџетска резерва</t>
    </r>
  </si>
  <si>
    <r>
      <t xml:space="preserve">Расходи по основу утрошка енергије, комуналних, комуникационих и транспортних услуга - </t>
    </r>
    <r>
      <rPr>
        <b/>
        <sz val="9"/>
        <rFont val="Arial"/>
        <family val="2"/>
      </rPr>
      <t>буџетска резерва</t>
    </r>
  </si>
  <si>
    <t>Издаци за отплату дугова, остали издаци и БР</t>
  </si>
  <si>
    <t>Примици за нефинансијску имовину</t>
  </si>
  <si>
    <t>Набавка опреме из донаторских средстава за пројекат "Предузећа за вјежбу"</t>
  </si>
  <si>
    <t>РЕБАЛАНС БУЏЕТА 
ОПШТИНЕ ПРЊАВОР 
ЗА 2017. ГОДИНЕ
- табеларни дио -</t>
  </si>
  <si>
    <t>ТАБЕЛА 1. РЕБАЛАНС БУЏЕТА ОПШТИНЕ ПРЊАВОР ЗА 2017. ГОДИНУ 
- ОПШТИ ДИО</t>
  </si>
  <si>
    <t>ТАБЕЛА 2.  РЕБАЛАНС БУЏЕТА ОПШТИНЕ ПРЊАВОР ЗА 2017. ГОДИНУ
-БУЏЕТСКИ ПРИХОДИ И ПРИМИЦИ ЗА НЕФИНАНСИЈСКУ ИМОВИНУ</t>
  </si>
  <si>
    <t xml:space="preserve">  ТАБЕЛА 3.  РЕБАЛАНС БУЏЕТА ОПШТИНЕ ПРЊАВОР ЗА 2017. ГОДИНУ
-БУЏЕТСКИ РАСХОДИ И ИЗДАЦИ ЗА НЕФИНАНСИЈСКУ ИМОВИНУ        </t>
  </si>
  <si>
    <t>ТАБЕЛА 4. РЕБАЛАНС БУЏЕТА ОПШТИНЕ ПРЊАВОР ЗА 2017. ГОДИНУ
- ФИНАНСИРАЊЕ</t>
  </si>
  <si>
    <t xml:space="preserve"> ТАБЕЛА 5. РЕБАЛАНС БУЏЕТА ОПШТИНЕ ПРЊАВОР ЗА 2017. ГОДИНУ
 - ОРГАНИЗАЦИОНА КЛАСИФИКАЦИЈА                                                                                                                                                                                    </t>
  </si>
  <si>
    <t>Ребаланс
буџета
за 2017.г</t>
  </si>
  <si>
    <t>Буџет
 за 2017. г.</t>
  </si>
  <si>
    <t>Ребаланс буџета за 2017.г.</t>
  </si>
  <si>
    <t>Ребаланс буџета за 2017.г</t>
  </si>
  <si>
    <t>Ребаланс буџета за
 2017. г.</t>
  </si>
  <si>
    <t>Буџет 
за 2017. г.</t>
  </si>
  <si>
    <t>Ребаланс буџета 
за 2017. г.</t>
  </si>
  <si>
    <t>6(7-5)</t>
  </si>
  <si>
    <t>Ребаланс буџета 
за 2017.г.</t>
  </si>
  <si>
    <t>4(5-3)</t>
  </si>
  <si>
    <t>6(5/3*100)</t>
  </si>
  <si>
    <t>5(6-4)</t>
  </si>
  <si>
    <t>7(6/4*100)</t>
  </si>
  <si>
    <t>8(7/5*100)</t>
  </si>
  <si>
    <t>Буџет за
 2017. г.</t>
  </si>
  <si>
    <t>Помоћ Агенције за аграрна плаћања за пројекат "Изложба стоке"</t>
  </si>
  <si>
    <t>Грант ЈУ Центар средњих школа "Иво Андрић " за пројекат "Предузећа за вјежбу"</t>
  </si>
  <si>
    <t>Примици од поравнања јавних прихода из претходне године и ранијих периода по записницима Пореске управе</t>
  </si>
  <si>
    <t>ПРИХОДИ</t>
  </si>
  <si>
    <t>РАСХОДИ</t>
  </si>
  <si>
    <t>Остали примици из трансакција између или унутар јединица власти</t>
  </si>
  <si>
    <t>Остали пимици</t>
  </si>
  <si>
    <t>ПРИМИЦИ</t>
  </si>
  <si>
    <t>ИЗДАЦИ</t>
  </si>
  <si>
    <t>РАЗЛИКА</t>
  </si>
  <si>
    <t>Трансфери од ентитета (поравнање јавних прихода по записницима Пореске управе)</t>
  </si>
  <si>
    <t>Трансфери од јединица локалне самоуправе (поравнање јавних прихода по записницима Пореске управе)</t>
  </si>
  <si>
    <t>Трансфери ентитету</t>
  </si>
  <si>
    <t>Трансфери јединицама локалне самоуправе</t>
  </si>
  <si>
    <t>Трансфери од фондова обавезног социјалног осигурања (поравнање јавних прихода по записницима Пореске управе)</t>
  </si>
  <si>
    <t>Трансфери од осталих јединица власти</t>
  </si>
  <si>
    <r>
      <t xml:space="preserve">Удружење пензионера - </t>
    </r>
    <r>
      <rPr>
        <b/>
        <sz val="9"/>
        <rFont val="Arial"/>
        <family val="2"/>
      </rPr>
      <t>буџетска резерва</t>
    </r>
  </si>
  <si>
    <r>
      <t xml:space="preserve">Колектор отпадних и оборинских вода општине Прњавор - </t>
    </r>
    <r>
      <rPr>
        <b/>
        <sz val="9"/>
        <rFont val="Arial"/>
        <family val="2"/>
      </rPr>
      <t xml:space="preserve">из гранта Фонда за заштиту животне средине и енергетску ефикасност РС </t>
    </r>
  </si>
  <si>
    <r>
      <t>Удружење ратних војних заробљеника "Вијенац" Возућа и остала удружења из борачке популације -</t>
    </r>
    <r>
      <rPr>
        <b/>
        <sz val="9"/>
        <rFont val="Arial"/>
        <family val="2"/>
      </rPr>
      <t xml:space="preserve"> буџетска резерва</t>
    </r>
  </si>
  <si>
    <r>
      <t>Набавка опреме</t>
    </r>
    <r>
      <rPr>
        <b/>
        <sz val="9"/>
        <rFont val="Arial"/>
        <family val="2"/>
      </rPr>
      <t xml:space="preserve"> - буџетска резерва</t>
    </r>
  </si>
  <si>
    <r>
      <t xml:space="preserve">Набавка дидактичког материјала по пројекту  "Укијева радионица" - </t>
    </r>
    <r>
      <rPr>
        <b/>
        <sz val="9"/>
        <rFont val="Arial"/>
        <family val="2"/>
      </rPr>
      <t>из гранта Савјета родитеља</t>
    </r>
  </si>
  <si>
    <r>
      <t xml:space="preserve">Остали непоменути расходи - </t>
    </r>
    <r>
      <rPr>
        <b/>
        <sz val="9"/>
        <rFont val="Arial"/>
        <family val="2"/>
      </rPr>
      <t>припрема дјеце за полазак у школу из дозначене помоћи Министарства просвјете и културе РС</t>
    </r>
  </si>
  <si>
    <t>Остали издаци (поврат/прекњижавање прихода наплаћених у претходној или ранијим годинама)</t>
  </si>
  <si>
    <t>Остали издаци из трансакција са другим јединицама власти</t>
  </si>
  <si>
    <t>Обавезе по основу записника Пореске управе РС о обрачуну и поравнању више и погрешно уплаћених јавних прихода</t>
  </si>
  <si>
    <t>Обавезе према осталим корисницима јавних прихода по основу записника ПУ РС по обрачуну и поравнању више и погрешно уплаћених јавних прихода</t>
  </si>
  <si>
    <t>Остали издаци (рефундација прихода по основу књижних обавјештења добијених од Пореске управе)</t>
  </si>
  <si>
    <t>Износ за
ребаланс</t>
  </si>
  <si>
    <t>Износ за 
ребаланс</t>
  </si>
  <si>
    <t>Грант Савјета родитеља ЈУ Дјечији вртић "Наша радост" за пројекат Укијева радионица (набавка дидактичког материјала)</t>
  </si>
  <si>
    <t>ЗАХТЈЕВ
КОРИСНИКА</t>
  </si>
  <si>
    <t xml:space="preserve">      Прњавор, новембар 2017. гoдине</t>
  </si>
  <si>
    <t>G-K</t>
  </si>
  <si>
    <t>Набавка посуђа - из средстава савјета родитеља</t>
  </si>
  <si>
    <t>Приједлог 
корисника</t>
  </si>
  <si>
    <t>ПОКРИЋЕ
СМАЊЕЊА
kolone rebalans</t>
  </si>
  <si>
    <t xml:space="preserve">Трансфер Министарства финансија РС  општини Прњавор за изградњу тротоара у градским улицам </t>
  </si>
  <si>
    <r>
      <t>Изградња и реконструкција путева, улица и тротора</t>
    </r>
    <r>
      <rPr>
        <b/>
        <sz val="9"/>
        <rFont val="Arial"/>
        <family val="2"/>
      </rPr>
      <t>-из трансфера Министарства финансија РС</t>
    </r>
  </si>
  <si>
    <t xml:space="preserve">
Фун. код</t>
  </si>
  <si>
    <t xml:space="preserve">
Индекс</t>
  </si>
  <si>
    <t>Грант Фонда за заштиту животне средине и енергетску ефикасност РС за пројекат "Набавка, транспорт и уградња биолошког уређаја за третман и пречишћавање отпадних и фекалних вода"</t>
  </si>
  <si>
    <r>
      <t xml:space="preserve">Средства за одржавање Фестивала националних мањина "Мала Европа" Прњавор - </t>
    </r>
    <r>
      <rPr>
        <b/>
        <sz val="9"/>
        <rFont val="Arial"/>
        <family val="2"/>
      </rPr>
      <t>буџетска резерва</t>
    </r>
  </si>
  <si>
    <t>Грант Савјета родитеља ЈУ Дјечији вртић "Наша радост" за набавку посуђа за кухињу вртића</t>
  </si>
  <si>
    <t xml:space="preserve">  ТАБЕЛА 6. РЕБАЛАНС БУЏЕТА ОПШТИНЕ ПРЊАВОР ЗА  2017. ГОДИНУ
- ФУНКЦИОНАЛНА КЛАСИФИКАЦИЈА </t>
  </si>
  <si>
    <t>ФУНКЦИЈА</t>
  </si>
  <si>
    <t>УКУПНО</t>
  </si>
  <si>
    <t>Ребаланс
буџета
 за  2017.г.</t>
  </si>
  <si>
    <t>120</t>
  </si>
  <si>
    <t>***</t>
  </si>
  <si>
    <r>
      <t xml:space="preserve">Финансирање Кола српских сестара Прњавор- </t>
    </r>
    <r>
      <rPr>
        <b/>
        <sz val="9"/>
        <rFont val="Arial"/>
        <family val="2"/>
      </rPr>
      <t>буџетска резерва</t>
    </r>
  </si>
  <si>
    <r>
      <t xml:space="preserve">Расходи за стручно усавршавање запослених Општинске управе - </t>
    </r>
    <r>
      <rPr>
        <b/>
        <sz val="9"/>
        <rFont val="Arial"/>
        <family val="2"/>
      </rPr>
      <t>буџетска резерва</t>
    </r>
  </si>
  <si>
    <t>Стање из система
на дан 20.11
(оперативни план)</t>
  </si>
  <si>
    <r>
      <t>Средства за подстицај и развој спорта -</t>
    </r>
    <r>
      <rPr>
        <sz val="8"/>
        <rFont val="Arial"/>
        <family val="2"/>
      </rPr>
      <t xml:space="preserve"> </t>
    </r>
    <r>
      <rPr>
        <b/>
        <sz val="9"/>
        <rFont val="Arial"/>
        <family val="2"/>
      </rPr>
      <t>буџетска резерва</t>
    </r>
  </si>
  <si>
    <t>Табела 2 - функционална класификација</t>
  </si>
  <si>
    <t>Табела 1- функционална класификација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</si>
</sst>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0.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i/>
      <sz val="8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name val="Times"/>
      <family val="1"/>
    </font>
    <font>
      <b/>
      <sz val="11"/>
      <name val="Symbol"/>
      <family val="1"/>
    </font>
    <font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60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10"/>
      <color theme="3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DB3"/>
        <bgColor indexed="64"/>
      </patternFill>
    </fill>
    <fill>
      <patternFill patternType="solid">
        <fgColor rgb="FFB4F0FC"/>
        <bgColor indexed="64"/>
      </patternFill>
    </fill>
    <fill>
      <patternFill patternType="solid">
        <fgColor rgb="FFEBBA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double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 style="double"/>
      <right/>
      <top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/>
      <right style="double"/>
      <top style="double"/>
      <bottom style="thin"/>
    </border>
    <border>
      <left style="double"/>
      <right style="thin"/>
      <top style="double"/>
      <bottom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1" applyNumberFormat="0" applyFon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0" fontId="58" fillId="29" borderId="3" applyNumberFormat="0" applyAlignment="0" applyProtection="0"/>
    <xf numFmtId="0" fontId="59" fillId="29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0" borderId="8" applyNumberFormat="0" applyFill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8" fillId="0" borderId="10" xfId="0" applyFont="1" applyBorder="1" applyAlignment="1">
      <alignment horizontal="right" vertical="center"/>
    </xf>
    <xf numFmtId="2" fontId="7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" fontId="13" fillId="35" borderId="10" xfId="0" applyNumberFormat="1" applyFont="1" applyFill="1" applyBorder="1" applyAlignment="1">
      <alignment horizontal="right" vertical="center"/>
    </xf>
    <xf numFmtId="4" fontId="8" fillId="33" borderId="13" xfId="0" applyNumberFormat="1" applyFont="1" applyFill="1" applyBorder="1" applyAlignment="1">
      <alignment horizontal="right" vertical="center"/>
    </xf>
    <xf numFmtId="4" fontId="8" fillId="35" borderId="13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14" fillId="34" borderId="10" xfId="0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center" wrapText="1"/>
    </xf>
    <xf numFmtId="4" fontId="12" fillId="34" borderId="14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4" fontId="13" fillId="35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49" fontId="8" fillId="0" borderId="11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4" fontId="6" fillId="34" borderId="13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2" fillId="36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2" fillId="36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5" fillId="0" borderId="19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4" fontId="24" fillId="0" borderId="13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2" fontId="17" fillId="0" borderId="20" xfId="0" applyNumberFormat="1" applyFont="1" applyFill="1" applyBorder="1" applyAlignment="1">
      <alignment horizontal="center" vertical="center" wrapText="1"/>
    </xf>
    <xf numFmtId="2" fontId="17" fillId="0" borderId="2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2" fontId="8" fillId="35" borderId="13" xfId="0" applyNumberFormat="1" applyFont="1" applyFill="1" applyBorder="1" applyAlignment="1">
      <alignment horizontal="right" vertical="center"/>
    </xf>
    <xf numFmtId="4" fontId="6" fillId="34" borderId="22" xfId="0" applyNumberFormat="1" applyFont="1" applyFill="1" applyBorder="1" applyAlignment="1">
      <alignment horizontal="right" vertical="center"/>
    </xf>
    <xf numFmtId="2" fontId="8" fillId="33" borderId="13" xfId="0" applyNumberFormat="1" applyFont="1" applyFill="1" applyBorder="1" applyAlignment="1">
      <alignment horizontal="right" vertical="center"/>
    </xf>
    <xf numFmtId="2" fontId="8" fillId="36" borderId="13" xfId="0" applyNumberFormat="1" applyFont="1" applyFill="1" applyBorder="1" applyAlignment="1">
      <alignment horizontal="right" vertical="center"/>
    </xf>
    <xf numFmtId="0" fontId="17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6" fillId="36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2" fontId="8" fillId="33" borderId="22" xfId="0" applyNumberFormat="1" applyFont="1" applyFill="1" applyBorder="1" applyAlignment="1">
      <alignment horizontal="right" vertical="center"/>
    </xf>
    <xf numFmtId="1" fontId="8" fillId="33" borderId="10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8" fillId="33" borderId="22" xfId="0" applyNumberFormat="1" applyFont="1" applyFill="1" applyBorder="1" applyAlignment="1">
      <alignment horizontal="right" vertical="center"/>
    </xf>
    <xf numFmtId="4" fontId="13" fillId="35" borderId="13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/>
    </xf>
    <xf numFmtId="4" fontId="6" fillId="38" borderId="13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2" fillId="13" borderId="10" xfId="0" applyFont="1" applyFill="1" applyBorder="1" applyAlignment="1">
      <alignment horizontal="left" vertical="center"/>
    </xf>
    <xf numFmtId="4" fontId="6" fillId="13" borderId="10" xfId="0" applyNumberFormat="1" applyFont="1" applyFill="1" applyBorder="1" applyAlignment="1">
      <alignment horizontal="right" vertical="center"/>
    </xf>
    <xf numFmtId="0" fontId="2" fillId="39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1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" fillId="13" borderId="10" xfId="0" applyFont="1" applyFill="1" applyBorder="1" applyAlignment="1">
      <alignment vertical="center"/>
    </xf>
    <xf numFmtId="2" fontId="2" fillId="13" borderId="13" xfId="0" applyNumberFormat="1" applyFont="1" applyFill="1" applyBorder="1" applyAlignment="1">
      <alignment horizontal="right" vertical="center"/>
    </xf>
    <xf numFmtId="4" fontId="2" fillId="13" borderId="10" xfId="0" applyNumberFormat="1" applyFont="1" applyFill="1" applyBorder="1" applyAlignment="1">
      <alignment horizontal="right" vertical="center"/>
    </xf>
    <xf numFmtId="2" fontId="2" fillId="13" borderId="24" xfId="0" applyNumberFormat="1" applyFont="1" applyFill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4" fontId="13" fillId="0" borderId="15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4" fontId="16" fillId="33" borderId="28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4" fontId="14" fillId="0" borderId="25" xfId="0" applyNumberFormat="1" applyFont="1" applyFill="1" applyBorder="1" applyAlignment="1">
      <alignment vertical="center"/>
    </xf>
    <xf numFmtId="4" fontId="14" fillId="0" borderId="16" xfId="0" applyNumberFormat="1" applyFont="1" applyFill="1" applyBorder="1" applyAlignment="1">
      <alignment vertical="center"/>
    </xf>
    <xf numFmtId="4" fontId="14" fillId="0" borderId="27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2" fillId="13" borderId="14" xfId="0" applyFont="1" applyFill="1" applyBorder="1" applyAlignment="1">
      <alignment vertical="center" wrapText="1"/>
    </xf>
    <xf numFmtId="4" fontId="8" fillId="0" borderId="29" xfId="0" applyNumberFormat="1" applyFont="1" applyFill="1" applyBorder="1" applyAlignment="1">
      <alignment horizontal="right" vertical="center"/>
    </xf>
    <xf numFmtId="4" fontId="8" fillId="33" borderId="29" xfId="0" applyNumberFormat="1" applyFont="1" applyFill="1" applyBorder="1" applyAlignment="1">
      <alignment horizontal="right" vertical="center"/>
    </xf>
    <xf numFmtId="4" fontId="13" fillId="0" borderId="30" xfId="0" applyNumberFormat="1" applyFont="1" applyFill="1" applyBorder="1" applyAlignment="1">
      <alignment horizontal="right" vertical="center"/>
    </xf>
    <xf numFmtId="4" fontId="13" fillId="35" borderId="29" xfId="0" applyNumberFormat="1" applyFont="1" applyFill="1" applyBorder="1" applyAlignment="1">
      <alignment horizontal="right" vertical="center"/>
    </xf>
    <xf numFmtId="49" fontId="8" fillId="0" borderId="29" xfId="0" applyNumberFormat="1" applyFont="1" applyBorder="1" applyAlignment="1">
      <alignment horizontal="center" vertical="center"/>
    </xf>
    <xf numFmtId="4" fontId="24" fillId="0" borderId="29" xfId="0" applyNumberFormat="1" applyFont="1" applyBorder="1" applyAlignment="1">
      <alignment horizontal="right" vertical="center"/>
    </xf>
    <xf numFmtId="0" fontId="4" fillId="39" borderId="31" xfId="0" applyFont="1" applyFill="1" applyBorder="1" applyAlignment="1">
      <alignment horizontal="center" vertical="center"/>
    </xf>
    <xf numFmtId="4" fontId="23" fillId="39" borderId="24" xfId="0" applyNumberFormat="1" applyFont="1" applyFill="1" applyBorder="1" applyAlignment="1">
      <alignment horizontal="right" vertical="center"/>
    </xf>
    <xf numFmtId="4" fontId="14" fillId="34" borderId="23" xfId="0" applyNumberFormat="1" applyFont="1" applyFill="1" applyBorder="1" applyAlignment="1">
      <alignment horizontal="right" vertical="center"/>
    </xf>
    <xf numFmtId="4" fontId="6" fillId="34" borderId="32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 wrapText="1"/>
    </xf>
    <xf numFmtId="4" fontId="2" fillId="0" borderId="0" xfId="0" applyNumberFormat="1" applyFont="1" applyAlignment="1">
      <alignment wrapText="1"/>
    </xf>
    <xf numFmtId="4" fontId="71" fillId="0" borderId="0" xfId="0" applyNumberFormat="1" applyFont="1" applyBorder="1" applyAlignment="1">
      <alignment horizontal="left" wrapText="1"/>
    </xf>
    <xf numFmtId="4" fontId="6" fillId="38" borderId="10" xfId="0" applyNumberFormat="1" applyFont="1" applyFill="1" applyBorder="1" applyAlignment="1">
      <alignment horizontal="right" vertical="center"/>
    </xf>
    <xf numFmtId="4" fontId="2" fillId="39" borderId="10" xfId="0" applyNumberFormat="1" applyFont="1" applyFill="1" applyBorder="1" applyAlignment="1">
      <alignment horizontal="right" vertical="center"/>
    </xf>
    <xf numFmtId="4" fontId="6" fillId="39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19" fillId="0" borderId="29" xfId="0" applyFont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right" vertical="center"/>
    </xf>
    <xf numFmtId="4" fontId="13" fillId="33" borderId="29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2" fillId="36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2" fillId="13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13" fillId="40" borderId="29" xfId="0" applyNumberFormat="1" applyFont="1" applyFill="1" applyBorder="1" applyAlignment="1">
      <alignment horizontal="right" vertical="center"/>
    </xf>
    <xf numFmtId="4" fontId="71" fillId="0" borderId="0" xfId="0" applyNumberFormat="1" applyFont="1" applyBorder="1" applyAlignment="1">
      <alignment wrapText="1"/>
    </xf>
    <xf numFmtId="0" fontId="2" fillId="34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4" fontId="23" fillId="13" borderId="14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6" fillId="13" borderId="13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33" borderId="11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4" fontId="2" fillId="34" borderId="10" xfId="0" applyNumberFormat="1" applyFont="1" applyFill="1" applyBorder="1" applyAlignment="1">
      <alignment horizontal="right" vertical="center"/>
    </xf>
    <xf numFmtId="4" fontId="2" fillId="34" borderId="13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23" fillId="13" borderId="14" xfId="0" applyFont="1" applyFill="1" applyBorder="1" applyAlignment="1">
      <alignment vertical="center" wrapText="1"/>
    </xf>
    <xf numFmtId="4" fontId="8" fillId="35" borderId="29" xfId="0" applyNumberFormat="1" applyFont="1" applyFill="1" applyBorder="1" applyAlignment="1">
      <alignment horizontal="right" vertical="center"/>
    </xf>
    <xf numFmtId="4" fontId="13" fillId="0" borderId="13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" fontId="13" fillId="0" borderId="25" xfId="0" applyNumberFormat="1" applyFont="1" applyFill="1" applyBorder="1" applyAlignment="1">
      <alignment horizontal="right" vertical="center"/>
    </xf>
    <xf numFmtId="4" fontId="13" fillId="0" borderId="26" xfId="0" applyNumberFormat="1" applyFont="1" applyFill="1" applyBorder="1" applyAlignment="1">
      <alignment horizontal="right" vertical="center"/>
    </xf>
    <xf numFmtId="4" fontId="13" fillId="0" borderId="27" xfId="0" applyNumberFormat="1" applyFont="1" applyFill="1" applyBorder="1" applyAlignment="1">
      <alignment horizontal="right" vertical="center"/>
    </xf>
    <xf numFmtId="4" fontId="13" fillId="0" borderId="25" xfId="0" applyNumberFormat="1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right" vertical="center"/>
    </xf>
    <xf numFmtId="4" fontId="13" fillId="0" borderId="27" xfId="0" applyNumberFormat="1" applyFont="1" applyBorder="1" applyAlignment="1">
      <alignment horizontal="right" vertical="center"/>
    </xf>
    <xf numFmtId="4" fontId="16" fillId="33" borderId="22" xfId="0" applyNumberFormat="1" applyFont="1" applyFill="1" applyBorder="1" applyAlignment="1">
      <alignment horizontal="right" vertical="center"/>
    </xf>
    <xf numFmtId="0" fontId="18" fillId="0" borderId="22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3" fillId="0" borderId="22" xfId="0" applyFont="1" applyBorder="1" applyAlignment="1">
      <alignment horizontal="right"/>
    </xf>
    <xf numFmtId="4" fontId="13" fillId="35" borderId="29" xfId="0" applyNumberFormat="1" applyFont="1" applyFill="1" applyBorder="1" applyAlignment="1">
      <alignment horizontal="right" vertical="center"/>
    </xf>
    <xf numFmtId="4" fontId="13" fillId="35" borderId="29" xfId="0" applyNumberFormat="1" applyFont="1" applyFill="1" applyBorder="1" applyAlignment="1">
      <alignment horizontal="right" vertical="center" wrapText="1"/>
    </xf>
    <xf numFmtId="4" fontId="13" fillId="36" borderId="29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2" fillId="37" borderId="11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wrapText="1"/>
    </xf>
    <xf numFmtId="0" fontId="23" fillId="39" borderId="14" xfId="0" applyFont="1" applyFill="1" applyBorder="1" applyAlignment="1">
      <alignment horizontal="left" vertical="center" wrapText="1"/>
    </xf>
    <xf numFmtId="4" fontId="23" fillId="39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 wrapText="1"/>
    </xf>
    <xf numFmtId="49" fontId="8" fillId="0" borderId="34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4" fontId="8" fillId="33" borderId="32" xfId="0" applyNumberFormat="1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vertical="center" wrapText="1"/>
    </xf>
    <xf numFmtId="4" fontId="8" fillId="0" borderId="32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" fontId="8" fillId="40" borderId="10" xfId="0" applyNumberFormat="1" applyFont="1" applyFill="1" applyBorder="1" applyAlignment="1">
      <alignment horizontal="right" vertical="center"/>
    </xf>
    <xf numFmtId="4" fontId="8" fillId="40" borderId="29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0" fontId="23" fillId="13" borderId="14" xfId="0" applyFont="1" applyFill="1" applyBorder="1" applyAlignment="1">
      <alignment horizontal="left" vertical="center"/>
    </xf>
    <xf numFmtId="4" fontId="23" fillId="13" borderId="14" xfId="0" applyNumberFormat="1" applyFont="1" applyFill="1" applyBorder="1" applyAlignment="1">
      <alignment horizontal="right" vertical="center"/>
    </xf>
    <xf numFmtId="4" fontId="23" fillId="13" borderId="24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0" fontId="2" fillId="37" borderId="10" xfId="0" applyFont="1" applyFill="1" applyBorder="1" applyAlignment="1">
      <alignment horizontal="left" vertical="center" wrapText="1"/>
    </xf>
    <xf numFmtId="4" fontId="2" fillId="39" borderId="10" xfId="0" applyNumberFormat="1" applyFont="1" applyFill="1" applyBorder="1" applyAlignment="1">
      <alignment horizontal="right" vertical="center"/>
    </xf>
    <xf numFmtId="4" fontId="2" fillId="39" borderId="13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38" borderId="10" xfId="0" applyFont="1" applyFill="1" applyBorder="1" applyAlignment="1">
      <alignment horizontal="left" vertical="center" wrapText="1"/>
    </xf>
    <xf numFmtId="4" fontId="2" fillId="38" borderId="10" xfId="0" applyNumberFormat="1" applyFont="1" applyFill="1" applyBorder="1" applyAlignment="1">
      <alignment horizontal="right" vertical="center"/>
    </xf>
    <xf numFmtId="4" fontId="2" fillId="38" borderId="13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33" borderId="35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3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4" fontId="0" fillId="0" borderId="35" xfId="0" applyNumberFormat="1" applyFont="1" applyBorder="1" applyAlignment="1">
      <alignment horizontal="right" vertical="center"/>
    </xf>
    <xf numFmtId="4" fontId="0" fillId="0" borderId="37" xfId="0" applyNumberFormat="1" applyFont="1" applyBorder="1" applyAlignment="1">
      <alignment horizontal="right" vertical="center"/>
    </xf>
    <xf numFmtId="0" fontId="2" fillId="40" borderId="31" xfId="0" applyFont="1" applyFill="1" applyBorder="1" applyAlignment="1">
      <alignment horizontal="center" vertical="center"/>
    </xf>
    <xf numFmtId="4" fontId="71" fillId="0" borderId="0" xfId="0" applyNumberFormat="1" applyFont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4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" fontId="2" fillId="39" borderId="29" xfId="0" applyNumberFormat="1" applyFont="1" applyFill="1" applyBorder="1" applyAlignment="1">
      <alignment horizontal="right" vertical="center"/>
    </xf>
    <xf numFmtId="4" fontId="2" fillId="38" borderId="29" xfId="0" applyNumberFormat="1" applyFont="1" applyFill="1" applyBorder="1" applyAlignment="1">
      <alignment horizontal="right" vertical="center"/>
    </xf>
    <xf numFmtId="4" fontId="0" fillId="33" borderId="29" xfId="0" applyNumberFormat="1" applyFont="1" applyFill="1" applyBorder="1" applyAlignment="1">
      <alignment horizontal="right" vertical="center"/>
    </xf>
    <xf numFmtId="4" fontId="0" fillId="0" borderId="29" xfId="0" applyNumberFormat="1" applyFont="1" applyFill="1" applyBorder="1" applyAlignment="1">
      <alignment horizontal="right" vertical="center"/>
    </xf>
    <xf numFmtId="4" fontId="0" fillId="0" borderId="29" xfId="0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horizontal="left"/>
    </xf>
    <xf numFmtId="4" fontId="6" fillId="34" borderId="24" xfId="0" applyNumberFormat="1" applyFont="1" applyFill="1" applyBorder="1" applyAlignment="1">
      <alignment horizontal="right" vertical="center"/>
    </xf>
    <xf numFmtId="4" fontId="30" fillId="13" borderId="24" xfId="0" applyNumberFormat="1" applyFont="1" applyFill="1" applyBorder="1" applyAlignment="1">
      <alignment horizontal="right" vertical="center"/>
    </xf>
    <xf numFmtId="4" fontId="6" fillId="40" borderId="10" xfId="0" applyNumberFormat="1" applyFont="1" applyFill="1" applyBorder="1" applyAlignment="1">
      <alignment horizontal="right" vertical="center"/>
    </xf>
    <xf numFmtId="4" fontId="6" fillId="40" borderId="13" xfId="0" applyNumberFormat="1" applyFont="1" applyFill="1" applyBorder="1" applyAlignment="1">
      <alignment horizontal="right" vertical="center"/>
    </xf>
    <xf numFmtId="4" fontId="6" fillId="41" borderId="10" xfId="0" applyNumberFormat="1" applyFont="1" applyFill="1" applyBorder="1" applyAlignment="1">
      <alignment horizontal="right" vertical="center"/>
    </xf>
    <xf numFmtId="4" fontId="6" fillId="41" borderId="13" xfId="0" applyNumberFormat="1" applyFont="1" applyFill="1" applyBorder="1" applyAlignment="1">
      <alignment horizontal="right" vertical="center"/>
    </xf>
    <xf numFmtId="4" fontId="6" fillId="42" borderId="10" xfId="0" applyNumberFormat="1" applyFont="1" applyFill="1" applyBorder="1" applyAlignment="1">
      <alignment horizontal="right" vertical="center"/>
    </xf>
    <xf numFmtId="4" fontId="6" fillId="42" borderId="13" xfId="0" applyNumberFormat="1" applyFont="1" applyFill="1" applyBorder="1" applyAlignment="1">
      <alignment horizontal="right" vertical="center"/>
    </xf>
    <xf numFmtId="4" fontId="8" fillId="40" borderId="13" xfId="0" applyNumberFormat="1" applyFont="1" applyFill="1" applyBorder="1" applyAlignment="1">
      <alignment horizontal="right" vertical="center"/>
    </xf>
    <xf numFmtId="4" fontId="6" fillId="13" borderId="14" xfId="0" applyNumberFormat="1" applyFont="1" applyFill="1" applyBorder="1" applyAlignment="1">
      <alignment horizontal="right" vertical="center"/>
    </xf>
    <xf numFmtId="4" fontId="6" fillId="13" borderId="24" xfId="0" applyNumberFormat="1" applyFont="1" applyFill="1" applyBorder="1" applyAlignment="1">
      <alignment horizontal="right" vertical="center"/>
    </xf>
    <xf numFmtId="4" fontId="8" fillId="39" borderId="13" xfId="0" applyNumberFormat="1" applyFont="1" applyFill="1" applyBorder="1" applyAlignment="1">
      <alignment horizontal="right" vertical="center"/>
    </xf>
    <xf numFmtId="4" fontId="8" fillId="43" borderId="13" xfId="0" applyNumberFormat="1" applyFont="1" applyFill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4" fontId="13" fillId="40" borderId="10" xfId="0" applyNumberFormat="1" applyFont="1" applyFill="1" applyBorder="1" applyAlignment="1">
      <alignment horizontal="right" vertical="center"/>
    </xf>
    <xf numFmtId="4" fontId="14" fillId="39" borderId="10" xfId="0" applyNumberFormat="1" applyFont="1" applyFill="1" applyBorder="1" applyAlignment="1">
      <alignment horizontal="right" vertical="center"/>
    </xf>
    <xf numFmtId="4" fontId="6" fillId="39" borderId="13" xfId="0" applyNumberFormat="1" applyFont="1" applyFill="1" applyBorder="1" applyAlignment="1">
      <alignment horizontal="right" vertical="center"/>
    </xf>
    <xf numFmtId="4" fontId="14" fillId="39" borderId="29" xfId="0" applyNumberFormat="1" applyFont="1" applyFill="1" applyBorder="1" applyAlignment="1">
      <alignment horizontal="right" vertical="center"/>
    </xf>
    <xf numFmtId="4" fontId="14" fillId="34" borderId="14" xfId="0" applyNumberFormat="1" applyFont="1" applyFill="1" applyBorder="1" applyAlignment="1">
      <alignment horizontal="right" vertical="center"/>
    </xf>
    <xf numFmtId="4" fontId="13" fillId="38" borderId="29" xfId="0" applyNumberFormat="1" applyFont="1" applyFill="1" applyBorder="1" applyAlignment="1">
      <alignment horizontal="right" vertical="center"/>
    </xf>
    <xf numFmtId="2" fontId="2" fillId="38" borderId="13" xfId="0" applyNumberFormat="1" applyFont="1" applyFill="1" applyBorder="1" applyAlignment="1">
      <alignment horizontal="right" vertical="center"/>
    </xf>
    <xf numFmtId="2" fontId="2" fillId="39" borderId="13" xfId="0" applyNumberFormat="1" applyFont="1" applyFill="1" applyBorder="1" applyAlignment="1">
      <alignment horizontal="right" vertical="center"/>
    </xf>
    <xf numFmtId="2" fontId="17" fillId="0" borderId="18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 wrapText="1"/>
    </xf>
    <xf numFmtId="4" fontId="2" fillId="13" borderId="14" xfId="0" applyNumberFormat="1" applyFont="1" applyFill="1" applyBorder="1" applyAlignment="1">
      <alignment horizontal="right" vertical="center"/>
    </xf>
    <xf numFmtId="4" fontId="0" fillId="40" borderId="10" xfId="0" applyNumberFormat="1" applyFont="1" applyFill="1" applyBorder="1" applyAlignment="1">
      <alignment horizontal="right" vertical="center"/>
    </xf>
    <xf numFmtId="2" fontId="0" fillId="40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2" fontId="0" fillId="0" borderId="22" xfId="0" applyNumberFormat="1" applyFont="1" applyBorder="1" applyAlignment="1">
      <alignment horizontal="right" vertical="center"/>
    </xf>
    <xf numFmtId="0" fontId="2" fillId="40" borderId="10" xfId="0" applyFont="1" applyFill="1" applyBorder="1" applyAlignment="1">
      <alignment horizontal="left" vertical="center" wrapText="1"/>
    </xf>
    <xf numFmtId="4" fontId="2" fillId="40" borderId="10" xfId="0" applyNumberFormat="1" applyFont="1" applyFill="1" applyBorder="1" applyAlignment="1">
      <alignment horizontal="right" vertical="center"/>
    </xf>
    <xf numFmtId="4" fontId="2" fillId="40" borderId="29" xfId="0" applyNumberFormat="1" applyFont="1" applyFill="1" applyBorder="1" applyAlignment="1">
      <alignment horizontal="right" vertical="center"/>
    </xf>
    <xf numFmtId="4" fontId="2" fillId="40" borderId="13" xfId="0" applyNumberFormat="1" applyFont="1" applyFill="1" applyBorder="1" applyAlignment="1">
      <alignment horizontal="right" vertical="center"/>
    </xf>
    <xf numFmtId="4" fontId="2" fillId="40" borderId="2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40" borderId="11" xfId="0" applyFont="1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 wrapText="1"/>
    </xf>
    <xf numFmtId="2" fontId="8" fillId="40" borderId="13" xfId="0" applyNumberFormat="1" applyFont="1" applyFill="1" applyBorder="1" applyAlignment="1">
      <alignment horizontal="right" vertical="center"/>
    </xf>
    <xf numFmtId="4" fontId="6" fillId="44" borderId="29" xfId="0" applyNumberFormat="1" applyFont="1" applyFill="1" applyBorder="1" applyAlignment="1">
      <alignment horizontal="right" vertical="center"/>
    </xf>
    <xf numFmtId="4" fontId="14" fillId="44" borderId="29" xfId="0" applyNumberFormat="1" applyFont="1" applyFill="1" applyBorder="1" applyAlignment="1">
      <alignment horizontal="right" vertical="center"/>
    </xf>
    <xf numFmtId="4" fontId="13" fillId="44" borderId="29" xfId="0" applyNumberFormat="1" applyFont="1" applyFill="1" applyBorder="1" applyAlignment="1">
      <alignment horizontal="right" vertical="center"/>
    </xf>
    <xf numFmtId="2" fontId="8" fillId="44" borderId="13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71" fillId="0" borderId="0" xfId="0" applyNumberFormat="1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6" fillId="33" borderId="28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71" fillId="0" borderId="0" xfId="0" applyFont="1" applyBorder="1" applyAlignment="1">
      <alignment horizontal="center" vertical="center" wrapText="1"/>
    </xf>
    <xf numFmtId="4" fontId="3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" fontId="31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4" fontId="0" fillId="0" borderId="0" xfId="0" applyNumberFormat="1" applyFont="1" applyBorder="1" applyAlignment="1">
      <alignment vertical="center"/>
    </xf>
    <xf numFmtId="4" fontId="72" fillId="0" borderId="29" xfId="0" applyNumberFormat="1" applyFont="1" applyFill="1" applyBorder="1" applyAlignment="1">
      <alignment horizontal="right" vertical="center"/>
    </xf>
    <xf numFmtId="4" fontId="73" fillId="0" borderId="0" xfId="0" applyNumberFormat="1" applyFont="1" applyAlignment="1">
      <alignment vertical="center"/>
    </xf>
    <xf numFmtId="4" fontId="74" fillId="40" borderId="29" xfId="0" applyNumberFormat="1" applyFont="1" applyFill="1" applyBorder="1" applyAlignment="1">
      <alignment horizontal="right" vertical="center"/>
    </xf>
    <xf numFmtId="4" fontId="12" fillId="0" borderId="0" xfId="0" applyNumberFormat="1" applyFont="1" applyAlignment="1">
      <alignment vertical="center"/>
    </xf>
    <xf numFmtId="2" fontId="8" fillId="40" borderId="22" xfId="0" applyNumberFormat="1" applyFont="1" applyFill="1" applyBorder="1" applyAlignment="1">
      <alignment horizontal="right" vertical="center"/>
    </xf>
    <xf numFmtId="4" fontId="75" fillId="0" borderId="0" xfId="0" applyNumberFormat="1" applyFont="1" applyAlignment="1">
      <alignment/>
    </xf>
    <xf numFmtId="4" fontId="75" fillId="0" borderId="0" xfId="0" applyNumberFormat="1" applyFont="1" applyAlignment="1">
      <alignment vertical="center"/>
    </xf>
    <xf numFmtId="4" fontId="75" fillId="0" borderId="0" xfId="0" applyNumberFormat="1" applyFont="1" applyBorder="1" applyAlignment="1">
      <alignment wrapText="1"/>
    </xf>
    <xf numFmtId="4" fontId="24" fillId="0" borderId="0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right" vertical="center"/>
    </xf>
    <xf numFmtId="0" fontId="25" fillId="0" borderId="21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4" fontId="24" fillId="0" borderId="10" xfId="0" applyNumberFormat="1" applyFont="1" applyBorder="1" applyAlignment="1">
      <alignment horizontal="right" vertical="center"/>
    </xf>
    <xf numFmtId="2" fontId="24" fillId="0" borderId="13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2" fontId="25" fillId="0" borderId="18" xfId="0" applyNumberFormat="1" applyFont="1" applyFill="1" applyBorder="1" applyAlignment="1">
      <alignment horizontal="center" vertical="center" wrapText="1"/>
    </xf>
    <xf numFmtId="0" fontId="24" fillId="45" borderId="31" xfId="0" applyFont="1" applyFill="1" applyBorder="1" applyAlignment="1">
      <alignment/>
    </xf>
    <xf numFmtId="0" fontId="25" fillId="45" borderId="14" xfId="0" applyFont="1" applyFill="1" applyBorder="1" applyAlignment="1">
      <alignment horizontal="left" vertical="center" wrapText="1"/>
    </xf>
    <xf numFmtId="4" fontId="23" fillId="45" borderId="14" xfId="0" applyNumberFormat="1" applyFont="1" applyFill="1" applyBorder="1" applyAlignment="1">
      <alignment horizontal="right" vertical="center"/>
    </xf>
    <xf numFmtId="2" fontId="23" fillId="45" borderId="24" xfId="0" applyNumberFormat="1" applyFont="1" applyFill="1" applyBorder="1" applyAlignment="1">
      <alignment horizontal="right" vertical="center"/>
    </xf>
    <xf numFmtId="4" fontId="14" fillId="0" borderId="0" xfId="0" applyNumberFormat="1" applyFont="1" applyBorder="1" applyAlignment="1">
      <alignment vertical="center"/>
    </xf>
    <xf numFmtId="4" fontId="13" fillId="0" borderId="0" xfId="0" applyNumberFormat="1" applyFont="1" applyAlignment="1">
      <alignment horizontal="right" vertical="center"/>
    </xf>
    <xf numFmtId="4" fontId="12" fillId="0" borderId="0" xfId="0" applyNumberFormat="1" applyFont="1" applyFill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vertical="center" wrapText="1"/>
    </xf>
    <xf numFmtId="4" fontId="13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4" fontId="6" fillId="32" borderId="13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8" fillId="0" borderId="3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29" fillId="0" borderId="3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2" fillId="33" borderId="50" xfId="0" applyFont="1" applyFill="1" applyBorder="1" applyAlignment="1">
      <alignment horizontal="center" vertical="center"/>
    </xf>
    <xf numFmtId="0" fontId="22" fillId="33" borderId="49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0</xdr:rowOff>
    </xdr:from>
    <xdr:to>
      <xdr:col>11</xdr:col>
      <xdr:colOff>28575</xdr:colOff>
      <xdr:row>8</xdr:row>
      <xdr:rowOff>47625</xdr:rowOff>
    </xdr:to>
    <xdr:pic>
      <xdr:nvPicPr>
        <xdr:cNvPr id="1" name="Picture 37" descr="01 1_1  CIRI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0"/>
          <a:ext cx="57626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zoomScalePageLayoutView="0" workbookViewId="0" topLeftCell="A31">
      <selection activeCell="A18" sqref="A18:M21"/>
    </sheetView>
  </sheetViews>
  <sheetFormatPr defaultColWidth="9.140625" defaultRowHeight="12.75"/>
  <sheetData>
    <row r="1" spans="1:13" ht="12.7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ht="12.7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ht="24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ht="12.75" customHeight="1"/>
    <row r="6" ht="12.75" customHeight="1"/>
    <row r="7" ht="12.75" customHeight="1"/>
    <row r="8" spans="9:11" ht="15">
      <c r="I8" s="19"/>
      <c r="J8" s="19"/>
      <c r="K8" s="19"/>
    </row>
    <row r="9" spans="9:11" ht="15">
      <c r="I9" s="19"/>
      <c r="J9" s="20"/>
      <c r="K9" s="19"/>
    </row>
    <row r="10" spans="9:11" ht="15">
      <c r="I10" s="19"/>
      <c r="J10" s="20"/>
      <c r="K10" s="19"/>
    </row>
    <row r="11" spans="8:11" ht="12.75" customHeight="1">
      <c r="H11" s="21"/>
      <c r="I11" s="19"/>
      <c r="J11" s="22"/>
      <c r="K11" s="23"/>
    </row>
    <row r="12" ht="12.75" customHeight="1"/>
    <row r="13" ht="12.75" customHeight="1"/>
    <row r="14" spans="10:12" ht="12.75" customHeight="1">
      <c r="J14" s="480"/>
      <c r="K14" s="236"/>
      <c r="L14" s="236"/>
    </row>
    <row r="16" ht="6" customHeight="1"/>
    <row r="17" ht="12.75" customHeight="1"/>
    <row r="18" spans="1:13" ht="12.75" customHeight="1">
      <c r="A18" s="482" t="s">
        <v>473</v>
      </c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</row>
    <row r="19" spans="1:13" ht="12.75" customHeight="1">
      <c r="A19" s="482"/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</row>
    <row r="20" spans="1:13" ht="34.5" customHeight="1">
      <c r="A20" s="482"/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</row>
    <row r="21" spans="1:13" ht="39" customHeight="1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</row>
    <row r="22" ht="12.75" customHeight="1"/>
    <row r="23" ht="9" customHeight="1"/>
    <row r="33" spans="8:13" ht="15.75">
      <c r="H33" s="483" t="s">
        <v>335</v>
      </c>
      <c r="I33" s="483"/>
      <c r="J33" s="483"/>
      <c r="K33" s="483"/>
      <c r="L33" s="483"/>
      <c r="M33" s="483"/>
    </row>
    <row r="34" spans="1:13" ht="15.75">
      <c r="A34" s="484" t="s">
        <v>525</v>
      </c>
      <c r="B34" s="484"/>
      <c r="C34" s="484"/>
      <c r="D34" s="484"/>
      <c r="E34" s="484"/>
      <c r="H34" s="483" t="s">
        <v>336</v>
      </c>
      <c r="I34" s="483"/>
      <c r="J34" s="483"/>
      <c r="K34" s="483"/>
      <c r="L34" s="483"/>
      <c r="M34" s="483"/>
    </row>
  </sheetData>
  <sheetProtection/>
  <mergeCells count="4">
    <mergeCell ref="A18:M21"/>
    <mergeCell ref="H33:M33"/>
    <mergeCell ref="A34:E34"/>
    <mergeCell ref="H34:M34"/>
  </mergeCells>
  <printOptions/>
  <pageMargins left="0.75" right="0.75" top="1" bottom="1" header="0.5" footer="0.5"/>
  <pageSetup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52">
      <selection activeCell="B76" sqref="B76"/>
    </sheetView>
  </sheetViews>
  <sheetFormatPr defaultColWidth="9.140625" defaultRowHeight="12.75"/>
  <cols>
    <col min="1" max="1" width="11.00390625" style="0" bestFit="1" customWidth="1"/>
    <col min="2" max="2" width="56.140625" style="0" customWidth="1"/>
    <col min="3" max="5" width="13.8515625" style="160" customWidth="1"/>
    <col min="6" max="6" width="11.7109375" style="160" customWidth="1"/>
    <col min="7" max="7" width="9.140625" style="0" customWidth="1"/>
    <col min="8" max="8" width="16.7109375" style="0" customWidth="1"/>
    <col min="9" max="9" width="14.8515625" style="0" customWidth="1"/>
  </cols>
  <sheetData>
    <row r="1" spans="1:6" ht="40.5" customHeight="1" thickBot="1">
      <c r="A1" s="485" t="s">
        <v>474</v>
      </c>
      <c r="B1" s="485"/>
      <c r="C1" s="485"/>
      <c r="D1" s="485"/>
      <c r="E1" s="485"/>
      <c r="F1" s="485"/>
    </row>
    <row r="2" spans="1:6" ht="18.75" customHeight="1" thickTop="1">
      <c r="A2" s="486" t="s">
        <v>64</v>
      </c>
      <c r="B2" s="488" t="s">
        <v>237</v>
      </c>
      <c r="C2" s="490" t="s">
        <v>480</v>
      </c>
      <c r="D2" s="490" t="s">
        <v>521</v>
      </c>
      <c r="E2" s="490" t="s">
        <v>479</v>
      </c>
      <c r="F2" s="492" t="s">
        <v>121</v>
      </c>
    </row>
    <row r="3" spans="1:6" ht="49.5" customHeight="1">
      <c r="A3" s="487"/>
      <c r="B3" s="489"/>
      <c r="C3" s="491"/>
      <c r="D3" s="491"/>
      <c r="E3" s="491"/>
      <c r="F3" s="493"/>
    </row>
    <row r="4" spans="1:6" s="5" customFormat="1" ht="12.75" customHeight="1">
      <c r="A4" s="246">
        <v>1</v>
      </c>
      <c r="B4" s="113">
        <v>2</v>
      </c>
      <c r="C4" s="113">
        <v>3</v>
      </c>
      <c r="D4" s="113" t="s">
        <v>488</v>
      </c>
      <c r="E4" s="113">
        <v>5</v>
      </c>
      <c r="F4" s="114" t="s">
        <v>489</v>
      </c>
    </row>
    <row r="5" spans="1:8" ht="18" customHeight="1">
      <c r="A5" s="247"/>
      <c r="B5" s="120" t="s">
        <v>307</v>
      </c>
      <c r="C5" s="263">
        <f>C6+C13+C18+C20</f>
        <v>13556700</v>
      </c>
      <c r="D5" s="263">
        <f>D6+D13+D18+D20</f>
        <v>187300</v>
      </c>
      <c r="E5" s="263">
        <f>E6+E13+E18+E20</f>
        <v>13744000</v>
      </c>
      <c r="F5" s="264">
        <f>E5/C5*100</f>
        <v>101.38160466780263</v>
      </c>
      <c r="H5" s="1"/>
    </row>
    <row r="6" spans="1:8" ht="15" customHeight="1">
      <c r="A6" s="265">
        <v>710000</v>
      </c>
      <c r="B6" s="175" t="s">
        <v>254</v>
      </c>
      <c r="C6" s="224">
        <f>C7+C8+C9+C10+C11+C12</f>
        <v>10100000</v>
      </c>
      <c r="D6" s="224">
        <f>D7+D8+D9+D10+D11+D12</f>
        <v>-165400</v>
      </c>
      <c r="E6" s="224">
        <f>E7+E8+E9+E10+E11+E12</f>
        <v>9934600</v>
      </c>
      <c r="F6" s="176">
        <f>E6/C6*100</f>
        <v>98.36237623762376</v>
      </c>
      <c r="H6" s="1"/>
    </row>
    <row r="7" spans="1:8" ht="14.25" customHeight="1">
      <c r="A7" s="259">
        <v>711100</v>
      </c>
      <c r="B7" s="95" t="s">
        <v>216</v>
      </c>
      <c r="C7" s="69">
        <f>'B.pr. i prim. za nef. im.'!D7</f>
        <v>4000</v>
      </c>
      <c r="D7" s="69">
        <f>'B.pr. i prim. za nef. im.'!E7</f>
        <v>-2400</v>
      </c>
      <c r="E7" s="69">
        <f>'B.pr. i prim. za nef. im.'!F7</f>
        <v>1600</v>
      </c>
      <c r="F7" s="154">
        <f>E7/C7*100</f>
        <v>40</v>
      </c>
      <c r="H7" s="1"/>
    </row>
    <row r="8" spans="1:8" ht="13.5" customHeight="1">
      <c r="A8" s="259">
        <v>713000</v>
      </c>
      <c r="B8" s="45" t="s">
        <v>5</v>
      </c>
      <c r="C8" s="69">
        <f>'B.pr. i prim. za nef. im.'!D9</f>
        <v>1140000</v>
      </c>
      <c r="D8" s="69">
        <f>'B.pr. i prim. za nef. im.'!E9</f>
        <v>15000</v>
      </c>
      <c r="E8" s="69">
        <f>'B.pr. i prim. za nef. im.'!F9</f>
        <v>1155000</v>
      </c>
      <c r="F8" s="154">
        <f aca="true" t="shared" si="0" ref="F8:F64">E8/C8*100</f>
        <v>101.3157894736842</v>
      </c>
      <c r="H8" s="1"/>
    </row>
    <row r="9" spans="1:8" ht="14.25" customHeight="1">
      <c r="A9" s="259">
        <v>714000</v>
      </c>
      <c r="B9" s="45" t="s">
        <v>9</v>
      </c>
      <c r="C9" s="69">
        <f>'B.pr. i prim. za nef. im.'!D12</f>
        <v>390000</v>
      </c>
      <c r="D9" s="69">
        <f>'B.pr. i prim. za nef. im.'!E12</f>
        <v>-100000</v>
      </c>
      <c r="E9" s="69">
        <f>'B.pr. i prim. za nef. im.'!F12</f>
        <v>290000</v>
      </c>
      <c r="F9" s="154">
        <f t="shared" si="0"/>
        <v>74.35897435897436</v>
      </c>
      <c r="H9" s="1"/>
    </row>
    <row r="10" spans="1:8" ht="14.25" customHeight="1">
      <c r="A10" s="259">
        <v>715000</v>
      </c>
      <c r="B10" s="45" t="s">
        <v>179</v>
      </c>
      <c r="C10" s="69">
        <f>'B.pr. i prim. za nef. im.'!D14</f>
        <v>140000</v>
      </c>
      <c r="D10" s="69">
        <f>'B.pr. i prim. za nef. im.'!E14</f>
        <v>-32000</v>
      </c>
      <c r="E10" s="69">
        <f>'B.pr. i prim. za nef. im.'!F14</f>
        <v>108000</v>
      </c>
      <c r="F10" s="154">
        <f t="shared" si="0"/>
        <v>77.14285714285715</v>
      </c>
      <c r="H10" s="1"/>
    </row>
    <row r="11" spans="1:8" ht="14.25" customHeight="1">
      <c r="A11" s="259">
        <v>717000</v>
      </c>
      <c r="B11" s="95" t="s">
        <v>401</v>
      </c>
      <c r="C11" s="69">
        <f>'B.pr. i prim. za nef. im.'!D17</f>
        <v>8410000</v>
      </c>
      <c r="D11" s="69">
        <f>'B.pr. i prim. za nef. im.'!E17</f>
        <v>-40000</v>
      </c>
      <c r="E11" s="69">
        <f>'B.pr. i prim. za nef. im.'!F17</f>
        <v>8370000</v>
      </c>
      <c r="F11" s="154">
        <f t="shared" si="0"/>
        <v>99.52437574316289</v>
      </c>
      <c r="H11" s="1"/>
    </row>
    <row r="12" spans="1:8" ht="14.25" customHeight="1">
      <c r="A12" s="259">
        <v>719000</v>
      </c>
      <c r="B12" s="45" t="s">
        <v>402</v>
      </c>
      <c r="C12" s="69">
        <f>'B.pr. i prim. za nef. im.'!D19</f>
        <v>16000</v>
      </c>
      <c r="D12" s="69">
        <f>'B.pr. i prim. za nef. im.'!E19</f>
        <v>-6000</v>
      </c>
      <c r="E12" s="69">
        <f>'B.pr. i prim. za nef. im.'!F19</f>
        <v>10000</v>
      </c>
      <c r="F12" s="154">
        <f t="shared" si="0"/>
        <v>62.5</v>
      </c>
      <c r="H12" s="1"/>
    </row>
    <row r="13" spans="1:8" ht="15" customHeight="1">
      <c r="A13" s="265">
        <v>720000</v>
      </c>
      <c r="B13" s="175" t="s">
        <v>257</v>
      </c>
      <c r="C13" s="224">
        <f>C14+C15+C16+C17</f>
        <v>2535800</v>
      </c>
      <c r="D13" s="224">
        <f>D14+D15+D16+D17</f>
        <v>46500</v>
      </c>
      <c r="E13" s="224">
        <f>E14+E15+E16+E17</f>
        <v>2582300</v>
      </c>
      <c r="F13" s="176">
        <f t="shared" si="0"/>
        <v>101.83374083129584</v>
      </c>
      <c r="H13" s="1"/>
    </row>
    <row r="14" spans="1:8" ht="14.25" customHeight="1">
      <c r="A14" s="250">
        <v>721000</v>
      </c>
      <c r="B14" s="95" t="s">
        <v>180</v>
      </c>
      <c r="C14" s="69">
        <f>'B.pr. i prim. za nef. im.'!D22</f>
        <v>260500</v>
      </c>
      <c r="D14" s="69">
        <f>'B.pr. i prim. za nef. im.'!E22</f>
        <v>-129000</v>
      </c>
      <c r="E14" s="69">
        <f>'B.pr. i prim. za nef. im.'!F22</f>
        <v>131500</v>
      </c>
      <c r="F14" s="154">
        <f t="shared" si="0"/>
        <v>50.479846449136275</v>
      </c>
      <c r="H14" s="1"/>
    </row>
    <row r="15" spans="1:8" ht="14.25" customHeight="1">
      <c r="A15" s="250">
        <v>722000</v>
      </c>
      <c r="B15" s="28" t="s">
        <v>183</v>
      </c>
      <c r="C15" s="69">
        <f>'B.pr. i prim. za nef. im.'!D29</f>
        <v>2230500</v>
      </c>
      <c r="D15" s="69">
        <f>'B.pr. i prim. za nef. im.'!E29</f>
        <v>155300</v>
      </c>
      <c r="E15" s="69">
        <f>'B.pr. i prim. za nef. im.'!F29</f>
        <v>2385800</v>
      </c>
      <c r="F15" s="154">
        <f t="shared" si="0"/>
        <v>106.96256444743331</v>
      </c>
      <c r="H15" s="1"/>
    </row>
    <row r="16" spans="1:8" ht="14.25" customHeight="1">
      <c r="A16" s="250">
        <v>723000</v>
      </c>
      <c r="B16" s="45" t="s">
        <v>23</v>
      </c>
      <c r="C16" s="266">
        <f>'B.pr. i prim. za nef. im.'!D60</f>
        <v>11000</v>
      </c>
      <c r="D16" s="69">
        <f>'B.pr. i prim. za nef. im.'!E60</f>
        <v>2000</v>
      </c>
      <c r="E16" s="266">
        <f>'B.pr. i prim. za nef. im.'!F60</f>
        <v>13000</v>
      </c>
      <c r="F16" s="154">
        <f t="shared" si="0"/>
        <v>118.18181818181819</v>
      </c>
      <c r="H16" s="1"/>
    </row>
    <row r="17" spans="1:8" ht="12.75">
      <c r="A17" s="250">
        <v>729000</v>
      </c>
      <c r="B17" s="28" t="s">
        <v>24</v>
      </c>
      <c r="C17" s="266">
        <f>'B.pr. i prim. za nef. im.'!D62</f>
        <v>33800</v>
      </c>
      <c r="D17" s="69">
        <f>'B.pr. i prim. za nef. im.'!E62</f>
        <v>18200</v>
      </c>
      <c r="E17" s="266">
        <f>'B.pr. i prim. za nef. im.'!F62</f>
        <v>52000</v>
      </c>
      <c r="F17" s="154">
        <f t="shared" si="0"/>
        <v>153.84615384615387</v>
      </c>
      <c r="H17" s="1"/>
    </row>
    <row r="18" spans="1:8" ht="15" customHeight="1">
      <c r="A18" s="256">
        <v>730000</v>
      </c>
      <c r="B18" s="177" t="s">
        <v>263</v>
      </c>
      <c r="C18" s="224">
        <f>C19</f>
        <v>0</v>
      </c>
      <c r="D18" s="224">
        <f>D19</f>
        <v>32832.5</v>
      </c>
      <c r="E18" s="224">
        <f>E19</f>
        <v>32832.5</v>
      </c>
      <c r="F18" s="176" t="e">
        <f t="shared" si="0"/>
        <v>#DIV/0!</v>
      </c>
      <c r="H18" s="1"/>
    </row>
    <row r="19" spans="1:8" ht="15" customHeight="1">
      <c r="A19" s="259">
        <v>731000</v>
      </c>
      <c r="B19" s="35" t="s">
        <v>161</v>
      </c>
      <c r="C19" s="69">
        <f>'B.pr. i prim. za nef. im.'!D64</f>
        <v>0</v>
      </c>
      <c r="D19" s="69">
        <f>'B.pr. i prim. za nef. im.'!E64</f>
        <v>32832.5</v>
      </c>
      <c r="E19" s="69">
        <f>'B.pr. i prim. za nef. im.'!F64</f>
        <v>32832.5</v>
      </c>
      <c r="F19" s="154" t="e">
        <f t="shared" si="0"/>
        <v>#DIV/0!</v>
      </c>
      <c r="H19" s="1"/>
    </row>
    <row r="20" spans="1:8" s="2" customFormat="1" ht="15" customHeight="1">
      <c r="A20" s="256">
        <v>780000</v>
      </c>
      <c r="B20" s="178" t="s">
        <v>403</v>
      </c>
      <c r="C20" s="224">
        <f>C21</f>
        <v>920900</v>
      </c>
      <c r="D20" s="224">
        <f>D21</f>
        <v>273367.5</v>
      </c>
      <c r="E20" s="224">
        <f>E21</f>
        <v>1194267.5</v>
      </c>
      <c r="F20" s="176">
        <f t="shared" si="0"/>
        <v>129.68481919861006</v>
      </c>
      <c r="H20" s="1"/>
    </row>
    <row r="21" spans="1:8" s="2" customFormat="1" ht="15" customHeight="1">
      <c r="A21" s="259">
        <v>787000</v>
      </c>
      <c r="B21" s="45" t="s">
        <v>404</v>
      </c>
      <c r="C21" s="69">
        <f>'B.pr. i prim. za nef. im.'!D72</f>
        <v>920900</v>
      </c>
      <c r="D21" s="69">
        <f>'B.pr. i prim. za nef. im.'!E72</f>
        <v>273367.5</v>
      </c>
      <c r="E21" s="69">
        <f>'B.pr. i prim. za nef. im.'!F72</f>
        <v>1194267.5</v>
      </c>
      <c r="F21" s="154">
        <f t="shared" si="0"/>
        <v>129.68481919861006</v>
      </c>
      <c r="H21" s="1"/>
    </row>
    <row r="22" spans="1:8" s="2" customFormat="1" ht="15" customHeight="1">
      <c r="A22" s="250"/>
      <c r="B22" s="120" t="s">
        <v>407</v>
      </c>
      <c r="C22" s="225">
        <f>C23+C32+C34</f>
        <v>11221900</v>
      </c>
      <c r="D22" s="225">
        <f>D23+D32+D34</f>
        <v>-60488.52000000002</v>
      </c>
      <c r="E22" s="225">
        <f>E23+E32+E34</f>
        <v>11161411.48</v>
      </c>
      <c r="F22" s="381">
        <f t="shared" si="0"/>
        <v>99.4609779092667</v>
      </c>
      <c r="H22" s="1"/>
    </row>
    <row r="23" spans="1:8" s="2" customFormat="1" ht="15" customHeight="1">
      <c r="A23" s="265">
        <v>410000</v>
      </c>
      <c r="B23" s="185" t="s">
        <v>308</v>
      </c>
      <c r="C23" s="224">
        <f>SUM(C24:C31)</f>
        <v>10889900</v>
      </c>
      <c r="D23" s="224">
        <f>SUM(D24:D31)</f>
        <v>89672.07999999999</v>
      </c>
      <c r="E23" s="224">
        <f>SUM(E24:E31)</f>
        <v>10979572.08</v>
      </c>
      <c r="F23" s="176">
        <f t="shared" si="0"/>
        <v>100.82344263950999</v>
      </c>
      <c r="H23" s="1"/>
    </row>
    <row r="24" spans="1:8" s="2" customFormat="1" ht="14.25" customHeight="1">
      <c r="A24" s="259">
        <v>411000</v>
      </c>
      <c r="B24" s="179" t="s">
        <v>145</v>
      </c>
      <c r="C24" s="69">
        <f>'B.rash. i izdaci za nef. im.'!C6</f>
        <v>4045900</v>
      </c>
      <c r="D24" s="69">
        <f>'B.rash. i izdaci za nef. im.'!D6</f>
        <v>-124721.75</v>
      </c>
      <c r="E24" s="69">
        <f>'B.rash. i izdaci za nef. im.'!E6</f>
        <v>3921178.25</v>
      </c>
      <c r="F24" s="154">
        <f t="shared" si="0"/>
        <v>96.91732988951777</v>
      </c>
      <c r="H24" s="1"/>
    </row>
    <row r="25" spans="1:8" s="2" customFormat="1" ht="12.75">
      <c r="A25" s="259">
        <v>412000</v>
      </c>
      <c r="B25" s="180" t="s">
        <v>147</v>
      </c>
      <c r="C25" s="69">
        <f>'B.rash. i izdaci za nef. im.'!C11</f>
        <v>2488300</v>
      </c>
      <c r="D25" s="69">
        <f>'B.rash. i izdaci za nef. im.'!D11</f>
        <v>167083.43</v>
      </c>
      <c r="E25" s="69">
        <f>'B.rash. i izdaci za nef. im.'!E11</f>
        <v>2655383.4299999997</v>
      </c>
      <c r="F25" s="154">
        <f t="shared" si="0"/>
        <v>106.71476228750552</v>
      </c>
      <c r="H25" s="1"/>
    </row>
    <row r="26" spans="1:8" s="2" customFormat="1" ht="12.75">
      <c r="A26" s="259">
        <v>413000</v>
      </c>
      <c r="B26" s="181" t="s">
        <v>157</v>
      </c>
      <c r="C26" s="267">
        <f>'B.rash. i izdaci za nef. im.'!C21</f>
        <v>389500</v>
      </c>
      <c r="D26" s="69">
        <f>'B.rash. i izdaci za nef. im.'!D21</f>
        <v>-13675</v>
      </c>
      <c r="E26" s="267">
        <f>'B.rash. i izdaci za nef. im.'!E21</f>
        <v>375825</v>
      </c>
      <c r="F26" s="154">
        <f t="shared" si="0"/>
        <v>96.48908857509628</v>
      </c>
      <c r="H26" s="1"/>
    </row>
    <row r="27" spans="1:8" s="2" customFormat="1" ht="12.75">
      <c r="A27" s="259">
        <v>414000</v>
      </c>
      <c r="B27" s="179" t="s">
        <v>203</v>
      </c>
      <c r="C27" s="69">
        <f>'B.rash. i izdaci za nef. im.'!C25</f>
        <v>400000</v>
      </c>
      <c r="D27" s="69">
        <f>'B.rash. i izdaci za nef. im.'!D25</f>
        <v>0</v>
      </c>
      <c r="E27" s="69">
        <f>'B.rash. i izdaci za nef. im.'!E25</f>
        <v>400000</v>
      </c>
      <c r="F27" s="154">
        <f t="shared" si="0"/>
        <v>100</v>
      </c>
      <c r="H27" s="1"/>
    </row>
    <row r="28" spans="1:8" s="2" customFormat="1" ht="12.75">
      <c r="A28" s="259">
        <v>415000</v>
      </c>
      <c r="B28" s="180" t="s">
        <v>161</v>
      </c>
      <c r="C28" s="69">
        <f>'B.rash. i izdaci za nef. im.'!C27</f>
        <v>886200</v>
      </c>
      <c r="D28" s="69">
        <f>'B.rash. i izdaci za nef. im.'!D27</f>
        <v>51235.4</v>
      </c>
      <c r="E28" s="69">
        <f>'B.rash. i izdaci za nef. im.'!E27</f>
        <v>937435.4</v>
      </c>
      <c r="F28" s="154">
        <f t="shared" si="0"/>
        <v>105.7814714511397</v>
      </c>
      <c r="H28" s="1"/>
    </row>
    <row r="29" spans="1:8" s="2" customFormat="1" ht="25.5" customHeight="1">
      <c r="A29" s="259">
        <v>416000</v>
      </c>
      <c r="B29" s="179" t="s">
        <v>170</v>
      </c>
      <c r="C29" s="69">
        <f>'B.rash. i izdaci za nef. im.'!C29</f>
        <v>2520000</v>
      </c>
      <c r="D29" s="69">
        <f>'B.rash. i izdaci za nef. im.'!D29</f>
        <v>67850</v>
      </c>
      <c r="E29" s="69">
        <f>'B.rash. i izdaci za nef. im.'!E29</f>
        <v>2587850</v>
      </c>
      <c r="F29" s="154">
        <f t="shared" si="0"/>
        <v>102.69246031746032</v>
      </c>
      <c r="H29" s="1"/>
    </row>
    <row r="30" spans="1:8" s="2" customFormat="1" ht="25.5" customHeight="1">
      <c r="A30" s="259">
        <v>418000</v>
      </c>
      <c r="B30" s="179" t="s">
        <v>405</v>
      </c>
      <c r="C30" s="69">
        <v>0</v>
      </c>
      <c r="D30" s="69">
        <v>0</v>
      </c>
      <c r="E30" s="69">
        <v>0</v>
      </c>
      <c r="F30" s="154" t="e">
        <f t="shared" si="0"/>
        <v>#DIV/0!</v>
      </c>
      <c r="H30" s="1"/>
    </row>
    <row r="31" spans="1:8" s="2" customFormat="1" ht="16.5" customHeight="1">
      <c r="A31" s="259">
        <v>419000</v>
      </c>
      <c r="B31" s="179" t="s">
        <v>406</v>
      </c>
      <c r="C31" s="69">
        <f>'B.rash. i izdaci za nef. im.'!C32</f>
        <v>160000</v>
      </c>
      <c r="D31" s="69">
        <f>'B.rash. i izdaci za nef. im.'!D32</f>
        <v>-58100</v>
      </c>
      <c r="E31" s="69">
        <f>'B.rash. i izdaci za nef. im.'!E32</f>
        <v>101900</v>
      </c>
      <c r="F31" s="154">
        <f t="shared" si="0"/>
        <v>63.6875</v>
      </c>
      <c r="H31" s="1"/>
    </row>
    <row r="32" spans="1:8" s="2" customFormat="1" ht="16.5" customHeight="1">
      <c r="A32" s="265">
        <v>480000</v>
      </c>
      <c r="B32" s="185" t="s">
        <v>409</v>
      </c>
      <c r="C32" s="224">
        <f>SUM(C33)</f>
        <v>172000</v>
      </c>
      <c r="D32" s="224">
        <f>SUM(D33)</f>
        <v>-3404.5</v>
      </c>
      <c r="E32" s="224">
        <f>SUM(E33)</f>
        <v>168595.5</v>
      </c>
      <c r="F32" s="176">
        <f t="shared" si="0"/>
        <v>98.02063953488373</v>
      </c>
      <c r="H32" s="1"/>
    </row>
    <row r="33" spans="1:8" s="2" customFormat="1" ht="16.5" customHeight="1">
      <c r="A33" s="259">
        <v>487000</v>
      </c>
      <c r="B33" s="179" t="s">
        <v>404</v>
      </c>
      <c r="C33" s="69">
        <f>'B.rash. i izdaci za nef. im.'!C34</f>
        <v>172000</v>
      </c>
      <c r="D33" s="69">
        <f>'B.rash. i izdaci za nef. im.'!D34</f>
        <v>-3404.5</v>
      </c>
      <c r="E33" s="69">
        <f>'B.rash. i izdaci za nef. im.'!E34</f>
        <v>168595.5</v>
      </c>
      <c r="F33" s="154">
        <f t="shared" si="0"/>
        <v>98.02063953488373</v>
      </c>
      <c r="H33" s="1"/>
    </row>
    <row r="34" spans="1:8" s="2" customFormat="1" ht="15.75" customHeight="1">
      <c r="A34" s="265" t="s">
        <v>224</v>
      </c>
      <c r="B34" s="185" t="s">
        <v>408</v>
      </c>
      <c r="C34" s="224">
        <f>'B.rash. i izdaci za nef. im.'!C39</f>
        <v>160000</v>
      </c>
      <c r="D34" s="224">
        <f>'B.rash. i izdaci za nef. im.'!D39</f>
        <v>-146756.1</v>
      </c>
      <c r="E34" s="224">
        <f>'B.rash. i izdaci za nef. im.'!E39</f>
        <v>13243.9</v>
      </c>
      <c r="F34" s="176">
        <f t="shared" si="0"/>
        <v>8.2774375</v>
      </c>
      <c r="H34" s="1"/>
    </row>
    <row r="35" spans="1:8" s="2" customFormat="1" ht="16.5" customHeight="1">
      <c r="A35" s="250"/>
      <c r="B35" s="182" t="s">
        <v>309</v>
      </c>
      <c r="C35" s="183">
        <f>C5-C22</f>
        <v>2334800</v>
      </c>
      <c r="D35" s="183">
        <f>D5-D22</f>
        <v>247788.52000000002</v>
      </c>
      <c r="E35" s="183">
        <f>E5-E22</f>
        <v>2582588.5199999996</v>
      </c>
      <c r="F35" s="481">
        <f t="shared" si="0"/>
        <v>110.61283707383929</v>
      </c>
      <c r="H35" s="1"/>
    </row>
    <row r="36" spans="1:8" s="2" customFormat="1" ht="16.5" customHeight="1">
      <c r="A36" s="250"/>
      <c r="B36" s="184" t="s">
        <v>310</v>
      </c>
      <c r="C36" s="226">
        <f>C37-C41</f>
        <v>-1281700</v>
      </c>
      <c r="D36" s="226">
        <f>D37-D41</f>
        <v>-121277.19</v>
      </c>
      <c r="E36" s="226">
        <f>E37-E41</f>
        <v>-1402977.19</v>
      </c>
      <c r="F36" s="376" t="s">
        <v>334</v>
      </c>
      <c r="H36" s="1"/>
    </row>
    <row r="37" spans="1:8" ht="15" customHeight="1">
      <c r="A37" s="265">
        <v>810000</v>
      </c>
      <c r="B37" s="185" t="s">
        <v>265</v>
      </c>
      <c r="C37" s="224">
        <f>C38+C39+C40</f>
        <v>46000</v>
      </c>
      <c r="D37" s="224">
        <f>D38+D39+D40</f>
        <v>-26000</v>
      </c>
      <c r="E37" s="224">
        <f>E38+E39+E40</f>
        <v>20000</v>
      </c>
      <c r="F37" s="176">
        <f t="shared" si="0"/>
        <v>43.47826086956522</v>
      </c>
      <c r="H37" s="1"/>
    </row>
    <row r="38" spans="1:8" ht="14.25" customHeight="1">
      <c r="A38" s="259">
        <v>811000</v>
      </c>
      <c r="B38" s="45" t="s">
        <v>198</v>
      </c>
      <c r="C38" s="69">
        <f>'B.pr. i prim. za nef. im.'!D84</f>
        <v>0</v>
      </c>
      <c r="D38" s="69">
        <f>'B.pr. i prim. za nef. im.'!E84</f>
        <v>0</v>
      </c>
      <c r="E38" s="69">
        <f>'B.pr. i prim. za nef. im.'!F84</f>
        <v>0</v>
      </c>
      <c r="F38" s="154" t="e">
        <f t="shared" si="0"/>
        <v>#DIV/0!</v>
      </c>
      <c r="H38" s="1"/>
    </row>
    <row r="39" spans="1:8" ht="14.25" customHeight="1">
      <c r="A39" s="259">
        <v>813000</v>
      </c>
      <c r="B39" s="45" t="s">
        <v>185</v>
      </c>
      <c r="C39" s="69">
        <f>'B.pr. i prim. za nef. im.'!D86</f>
        <v>42000</v>
      </c>
      <c r="D39" s="69">
        <f>'B.pr. i prim. za nef. im.'!E86</f>
        <v>-27000</v>
      </c>
      <c r="E39" s="69">
        <f>'B.pr. i prim. za nef. im.'!F86</f>
        <v>15000</v>
      </c>
      <c r="F39" s="154">
        <f t="shared" si="0"/>
        <v>35.714285714285715</v>
      </c>
      <c r="H39" s="1"/>
    </row>
    <row r="40" spans="1:8" ht="27" customHeight="1">
      <c r="A40" s="259">
        <v>816000</v>
      </c>
      <c r="B40" s="45" t="s">
        <v>311</v>
      </c>
      <c r="C40" s="69">
        <f>'B.pr. i prim. za nef. im.'!D88</f>
        <v>4000</v>
      </c>
      <c r="D40" s="69">
        <f>'B.pr. i prim. za nef. im.'!E88</f>
        <v>1000</v>
      </c>
      <c r="E40" s="69">
        <f>'B.pr. i prim. za nef. im.'!F88</f>
        <v>5000</v>
      </c>
      <c r="F40" s="154">
        <f t="shared" si="0"/>
        <v>125</v>
      </c>
      <c r="H40" s="1"/>
    </row>
    <row r="41" spans="1:8" ht="16.5" customHeight="1">
      <c r="A41" s="265">
        <v>510000</v>
      </c>
      <c r="B41" s="185" t="s">
        <v>312</v>
      </c>
      <c r="C41" s="224">
        <f>SUM(C42:C44)</f>
        <v>1327700</v>
      </c>
      <c r="D41" s="224">
        <f>SUM(D42:D44)</f>
        <v>95277.19</v>
      </c>
      <c r="E41" s="224">
        <f>SUM(E42:E44)</f>
        <v>1422977.19</v>
      </c>
      <c r="F41" s="176">
        <f t="shared" si="0"/>
        <v>107.1761083075996</v>
      </c>
      <c r="H41" s="1"/>
    </row>
    <row r="42" spans="1:8" ht="12.75">
      <c r="A42" s="259">
        <v>511000</v>
      </c>
      <c r="B42" s="45" t="s">
        <v>165</v>
      </c>
      <c r="C42" s="69">
        <f>'B.rash. i izdaci za nef. im.'!C41</f>
        <v>1262200</v>
      </c>
      <c r="D42" s="69">
        <f>'B.rash. i izdaci za nef. im.'!D41</f>
        <v>39723.19</v>
      </c>
      <c r="E42" s="69">
        <f>'B.rash. i izdaci za nef. im.'!E41</f>
        <v>1301923.19</v>
      </c>
      <c r="F42" s="154">
        <f t="shared" si="0"/>
        <v>103.14713912216764</v>
      </c>
      <c r="H42" s="1"/>
    </row>
    <row r="43" spans="1:8" ht="12.75">
      <c r="A43" s="268">
        <v>513000</v>
      </c>
      <c r="B43" s="180" t="s">
        <v>192</v>
      </c>
      <c r="C43" s="69">
        <f>'B.rash. i izdaci za nef. im.'!C46</f>
        <v>50000</v>
      </c>
      <c r="D43" s="69">
        <f>'B.rash. i izdaci za nef. im.'!D46</f>
        <v>57000</v>
      </c>
      <c r="E43" s="69">
        <f>'B.rash. i izdaci za nef. im.'!E46</f>
        <v>107000</v>
      </c>
      <c r="F43" s="154">
        <f t="shared" si="0"/>
        <v>214</v>
      </c>
      <c r="H43" s="1"/>
    </row>
    <row r="44" spans="1:8" ht="25.5" customHeight="1">
      <c r="A44" s="268">
        <v>516000</v>
      </c>
      <c r="B44" s="179" t="s">
        <v>382</v>
      </c>
      <c r="C44" s="69">
        <f>'B.rash. i izdaci za nef. im.'!C48</f>
        <v>15500</v>
      </c>
      <c r="D44" s="69">
        <f>'B.rash. i izdaci za nef. im.'!D48</f>
        <v>-1446</v>
      </c>
      <c r="E44" s="69">
        <f>'B.rash. i izdaci za nef. im.'!E48</f>
        <v>14054</v>
      </c>
      <c r="F44" s="154">
        <f t="shared" si="0"/>
        <v>90.67096774193548</v>
      </c>
      <c r="H44" s="1"/>
    </row>
    <row r="45" spans="1:8" ht="18.75" customHeight="1">
      <c r="A45" s="268"/>
      <c r="B45" s="182" t="s">
        <v>313</v>
      </c>
      <c r="C45" s="183">
        <f>C35+C36</f>
        <v>1053100</v>
      </c>
      <c r="D45" s="183">
        <f>D35+D36</f>
        <v>126511.33000000002</v>
      </c>
      <c r="E45" s="183">
        <f>E35+E36</f>
        <v>1179611.3299999996</v>
      </c>
      <c r="F45" s="377" t="s">
        <v>334</v>
      </c>
      <c r="H45" s="1"/>
    </row>
    <row r="46" spans="1:8" ht="15.75" customHeight="1">
      <c r="A46" s="268"/>
      <c r="B46" s="120" t="s">
        <v>410</v>
      </c>
      <c r="C46" s="226">
        <f>C47+C52+C57+C64</f>
        <v>-1053100</v>
      </c>
      <c r="D46" s="226">
        <f>D47+D52+D57+D64</f>
        <v>-126511.33</v>
      </c>
      <c r="E46" s="226">
        <f>E47+E52+E57+E64</f>
        <v>-1179611.33</v>
      </c>
      <c r="F46" s="376" t="s">
        <v>334</v>
      </c>
      <c r="H46" s="1"/>
    </row>
    <row r="47" spans="1:8" ht="17.25" customHeight="1">
      <c r="A47" s="268"/>
      <c r="B47" s="120" t="s">
        <v>314</v>
      </c>
      <c r="C47" s="226">
        <f>C48-C50</f>
        <v>0</v>
      </c>
      <c r="D47" s="226">
        <f>D48-D50</f>
        <v>0</v>
      </c>
      <c r="E47" s="226">
        <f>E48-E50</f>
        <v>0</v>
      </c>
      <c r="F47" s="381" t="e">
        <f t="shared" si="0"/>
        <v>#DIV/0!</v>
      </c>
      <c r="H47" s="1"/>
    </row>
    <row r="48" spans="1:8" ht="15" customHeight="1">
      <c r="A48" s="265">
        <v>910000</v>
      </c>
      <c r="B48" s="185" t="s">
        <v>315</v>
      </c>
      <c r="C48" s="224">
        <f>SUM(C49)</f>
        <v>0</v>
      </c>
      <c r="D48" s="224">
        <f>SUM(D49)</f>
        <v>0</v>
      </c>
      <c r="E48" s="224">
        <f>SUM(E49)</f>
        <v>0</v>
      </c>
      <c r="F48" s="176" t="e">
        <f t="shared" si="0"/>
        <v>#DIV/0!</v>
      </c>
      <c r="H48" s="1"/>
    </row>
    <row r="49" spans="1:8" ht="14.25" customHeight="1">
      <c r="A49" s="76">
        <v>911000</v>
      </c>
      <c r="B49" s="40" t="s">
        <v>316</v>
      </c>
      <c r="C49" s="101">
        <f>Finansiranje!E8</f>
        <v>0</v>
      </c>
      <c r="D49" s="101">
        <f>Finansiranje!D8</f>
        <v>0</v>
      </c>
      <c r="E49" s="101">
        <f>Finansiranje!E8</f>
        <v>0</v>
      </c>
      <c r="F49" s="154" t="e">
        <f t="shared" si="0"/>
        <v>#DIV/0!</v>
      </c>
      <c r="H49" s="1"/>
    </row>
    <row r="50" spans="1:8" ht="14.25" customHeight="1">
      <c r="A50" s="265">
        <v>610000</v>
      </c>
      <c r="B50" s="185" t="s">
        <v>317</v>
      </c>
      <c r="C50" s="224">
        <f>SUM(C51)</f>
        <v>0</v>
      </c>
      <c r="D50" s="224">
        <f>SUM(D51)</f>
        <v>0</v>
      </c>
      <c r="E50" s="224">
        <f>SUM(E51)</f>
        <v>0</v>
      </c>
      <c r="F50" s="176" t="e">
        <f t="shared" si="0"/>
        <v>#DIV/0!</v>
      </c>
      <c r="H50" s="1"/>
    </row>
    <row r="51" spans="1:8" ht="14.25" customHeight="1">
      <c r="A51" s="76">
        <v>611000</v>
      </c>
      <c r="B51" s="40" t="s">
        <v>318</v>
      </c>
      <c r="C51" s="101">
        <f>Finansiranje!E10</f>
        <v>0</v>
      </c>
      <c r="D51" s="101">
        <f>Finansiranje!D10</f>
        <v>0</v>
      </c>
      <c r="E51" s="101">
        <f>Finansiranje!E10</f>
        <v>0</v>
      </c>
      <c r="F51" s="154" t="e">
        <f t="shared" si="0"/>
        <v>#DIV/0!</v>
      </c>
      <c r="H51" s="1"/>
    </row>
    <row r="52" spans="1:8" ht="14.25" customHeight="1">
      <c r="A52" s="76"/>
      <c r="B52" s="120" t="s">
        <v>319</v>
      </c>
      <c r="C52" s="226">
        <f>C53-C55</f>
        <v>-656500</v>
      </c>
      <c r="D52" s="226">
        <f>D53-D55</f>
        <v>29075</v>
      </c>
      <c r="E52" s="226">
        <f>E53-E55</f>
        <v>-627425</v>
      </c>
      <c r="F52" s="381">
        <f t="shared" si="0"/>
        <v>95.57121096725058</v>
      </c>
      <c r="H52" s="1"/>
    </row>
    <row r="53" spans="1:8" ht="15" customHeight="1">
      <c r="A53" s="265">
        <v>920000</v>
      </c>
      <c r="B53" s="185" t="s">
        <v>320</v>
      </c>
      <c r="C53" s="224">
        <f>SUM(C54)</f>
        <v>0</v>
      </c>
      <c r="D53" s="224">
        <f>SUM(D54)</f>
        <v>0</v>
      </c>
      <c r="E53" s="224">
        <f>SUM(E54)</f>
        <v>0</v>
      </c>
      <c r="F53" s="176" t="e">
        <f t="shared" si="0"/>
        <v>#DIV/0!</v>
      </c>
      <c r="H53" s="1"/>
    </row>
    <row r="54" spans="1:8" ht="14.25" customHeight="1">
      <c r="A54" s="76">
        <v>921000</v>
      </c>
      <c r="B54" s="89" t="s">
        <v>321</v>
      </c>
      <c r="C54" s="69">
        <f>Finansiranje!E13</f>
        <v>0</v>
      </c>
      <c r="D54" s="69">
        <f>Finansiranje!D13</f>
        <v>0</v>
      </c>
      <c r="E54" s="69">
        <f>Finansiranje!E13</f>
        <v>0</v>
      </c>
      <c r="F54" s="154" t="e">
        <f t="shared" si="0"/>
        <v>#DIV/0!</v>
      </c>
      <c r="H54" s="1"/>
    </row>
    <row r="55" spans="1:8" ht="14.25" customHeight="1">
      <c r="A55" s="265">
        <v>620000</v>
      </c>
      <c r="B55" s="185" t="s">
        <v>322</v>
      </c>
      <c r="C55" s="224">
        <f>SUM(C56)</f>
        <v>656500</v>
      </c>
      <c r="D55" s="224">
        <f>SUM(D56)</f>
        <v>-29075</v>
      </c>
      <c r="E55" s="224">
        <f>SUM(E56)</f>
        <v>627425</v>
      </c>
      <c r="F55" s="176">
        <f t="shared" si="0"/>
        <v>95.57121096725058</v>
      </c>
      <c r="H55" s="1"/>
    </row>
    <row r="56" spans="1:8" ht="14.25" customHeight="1">
      <c r="A56" s="424">
        <v>621000</v>
      </c>
      <c r="B56" s="45" t="s">
        <v>169</v>
      </c>
      <c r="C56" s="69">
        <f>Finansiranje!C14</f>
        <v>656500</v>
      </c>
      <c r="D56" s="69">
        <f>Finansiranje!D14</f>
        <v>-29075</v>
      </c>
      <c r="E56" s="69">
        <f>Finansiranje!E14</f>
        <v>627425</v>
      </c>
      <c r="F56" s="154">
        <f t="shared" si="0"/>
        <v>95.57121096725058</v>
      </c>
      <c r="H56" s="1"/>
    </row>
    <row r="57" spans="1:8" ht="14.25" customHeight="1">
      <c r="A57" s="76"/>
      <c r="B57" s="120" t="s">
        <v>411</v>
      </c>
      <c r="C57" s="226">
        <f>C58-C61</f>
        <v>-516600</v>
      </c>
      <c r="D57" s="226">
        <f>D58-D61</f>
        <v>-35586.33</v>
      </c>
      <c r="E57" s="226">
        <f>E58-E61</f>
        <v>-552186.33</v>
      </c>
      <c r="F57" s="376" t="s">
        <v>334</v>
      </c>
      <c r="H57" s="1"/>
    </row>
    <row r="58" spans="1:8" ht="14.25" customHeight="1">
      <c r="A58" s="265">
        <v>930000</v>
      </c>
      <c r="B58" s="185" t="s">
        <v>412</v>
      </c>
      <c r="C58" s="224">
        <f>SUM(C59:C60)</f>
        <v>64800</v>
      </c>
      <c r="D58" s="224">
        <f>SUM(D59:D60)</f>
        <v>-15800</v>
      </c>
      <c r="E58" s="224">
        <f>SUM(E59:E60)</f>
        <v>49000</v>
      </c>
      <c r="F58" s="176">
        <f t="shared" si="0"/>
        <v>75.61728395061729</v>
      </c>
      <c r="H58" s="1"/>
    </row>
    <row r="59" spans="1:8" ht="14.25" customHeight="1">
      <c r="A59" s="76">
        <v>931000</v>
      </c>
      <c r="B59" s="89" t="s">
        <v>413</v>
      </c>
      <c r="C59" s="69">
        <f>Finansiranje!C19</f>
        <v>0</v>
      </c>
      <c r="D59" s="69">
        <f>Finansiranje!D19</f>
        <v>0</v>
      </c>
      <c r="E59" s="69">
        <f>Finansiranje!E19</f>
        <v>0</v>
      </c>
      <c r="F59" s="154" t="e">
        <f t="shared" si="0"/>
        <v>#DIV/0!</v>
      </c>
      <c r="H59" s="1"/>
    </row>
    <row r="60" spans="1:8" ht="14.25" customHeight="1">
      <c r="A60" s="76">
        <v>938000</v>
      </c>
      <c r="B60" s="89" t="s">
        <v>499</v>
      </c>
      <c r="C60" s="69">
        <f>Finansiranje!C20</f>
        <v>64800</v>
      </c>
      <c r="D60" s="69">
        <f>Finansiranje!D20</f>
        <v>-15800</v>
      </c>
      <c r="E60" s="69">
        <f>Finansiranje!E20</f>
        <v>49000</v>
      </c>
      <c r="F60" s="154">
        <f t="shared" si="0"/>
        <v>75.61728395061729</v>
      </c>
      <c r="H60" s="1"/>
    </row>
    <row r="61" spans="1:8" ht="14.25" customHeight="1">
      <c r="A61" s="265">
        <v>630000</v>
      </c>
      <c r="B61" s="185" t="s">
        <v>414</v>
      </c>
      <c r="C61" s="224">
        <f>SUM(C62:C63)</f>
        <v>581400</v>
      </c>
      <c r="D61" s="224">
        <f>SUM(D62:D63)</f>
        <v>19786.33</v>
      </c>
      <c r="E61" s="224">
        <f>SUM(E62:E63)</f>
        <v>601186.33</v>
      </c>
      <c r="F61" s="176">
        <f t="shared" si="0"/>
        <v>103.40322153422773</v>
      </c>
      <c r="H61" s="1"/>
    </row>
    <row r="62" spans="1:9" ht="14.25" customHeight="1">
      <c r="A62" s="76">
        <v>631000</v>
      </c>
      <c r="B62" s="89" t="s">
        <v>415</v>
      </c>
      <c r="C62" s="69">
        <f>Finansiranje!C24</f>
        <v>517000</v>
      </c>
      <c r="D62" s="69">
        <f>Finansiranje!D24</f>
        <v>10000</v>
      </c>
      <c r="E62" s="69">
        <f>Finansiranje!E24</f>
        <v>527000</v>
      </c>
      <c r="F62" s="154">
        <f t="shared" si="0"/>
        <v>101.93423597678917</v>
      </c>
      <c r="H62" s="1"/>
      <c r="I62" s="1"/>
    </row>
    <row r="63" spans="1:8" ht="14.25" customHeight="1">
      <c r="A63" s="76">
        <v>638000</v>
      </c>
      <c r="B63" s="89" t="s">
        <v>422</v>
      </c>
      <c r="C63" s="69">
        <f>Finansiranje!C27</f>
        <v>64400</v>
      </c>
      <c r="D63" s="69">
        <f>Finansiranje!D27</f>
        <v>9786.330000000002</v>
      </c>
      <c r="E63" s="69">
        <f>Finansiranje!E27</f>
        <v>74186.33</v>
      </c>
      <c r="F63" s="154">
        <f t="shared" si="0"/>
        <v>115.19616459627329</v>
      </c>
      <c r="H63" s="1"/>
    </row>
    <row r="64" spans="1:8" ht="21.75" customHeight="1">
      <c r="A64" s="76"/>
      <c r="B64" s="243" t="s">
        <v>417</v>
      </c>
      <c r="C64" s="226">
        <f>Finansiranje!C30</f>
        <v>120000</v>
      </c>
      <c r="D64" s="226">
        <f>Finansiranje!D30</f>
        <v>-120000</v>
      </c>
      <c r="E64" s="226">
        <f>Finansiranje!E30</f>
        <v>0</v>
      </c>
      <c r="F64" s="381">
        <f t="shared" si="0"/>
        <v>0</v>
      </c>
      <c r="H64" s="1"/>
    </row>
    <row r="65" spans="1:8" ht="20.25" customHeight="1" thickBot="1">
      <c r="A65" s="262"/>
      <c r="B65" s="269" t="s">
        <v>416</v>
      </c>
      <c r="C65" s="245">
        <f>C45+C46</f>
        <v>0</v>
      </c>
      <c r="D65" s="245">
        <f>D45+D46</f>
        <v>0</v>
      </c>
      <c r="E65" s="245">
        <f>E45+E46</f>
        <v>0</v>
      </c>
      <c r="F65" s="366" t="s">
        <v>334</v>
      </c>
      <c r="H65" s="1"/>
    </row>
    <row r="66" spans="1:6" ht="18" customHeight="1" thickTop="1">
      <c r="A66" s="161"/>
      <c r="B66" s="159"/>
      <c r="C66" s="162"/>
      <c r="D66" s="162"/>
      <c r="E66" s="162"/>
      <c r="F66" s="162"/>
    </row>
    <row r="67" spans="1:6" ht="18" customHeight="1">
      <c r="A67" s="3"/>
      <c r="B67" s="159"/>
      <c r="C67" s="159"/>
      <c r="D67" s="159"/>
      <c r="E67" s="159"/>
      <c r="F67" s="159"/>
    </row>
    <row r="68" spans="1:6" ht="14.25" customHeight="1" hidden="1">
      <c r="A68" s="3"/>
      <c r="B68" s="159" t="s">
        <v>497</v>
      </c>
      <c r="C68" s="159">
        <f>C6+C13+C18+C20+C37+C48+C53+C58+C64</f>
        <v>13787500</v>
      </c>
      <c r="D68" s="159">
        <f>D6+D13+D18+D20+D37+D48+D53+D58+D64</f>
        <v>25500</v>
      </c>
      <c r="E68" s="159">
        <f>E6+E13+E18+E20+E37+E48+E53+E58+E64</f>
        <v>13813000</v>
      </c>
      <c r="F68" s="159"/>
    </row>
    <row r="69" spans="1:6" ht="16.5" customHeight="1" hidden="1">
      <c r="A69" s="3"/>
      <c r="B69" s="404" t="s">
        <v>498</v>
      </c>
      <c r="C69" s="159">
        <f>C23+C32+C34+C41+C50+C55+C61</f>
        <v>13787500</v>
      </c>
      <c r="D69" s="159">
        <f>D23+D32+D34+D41+D50+D55+D61</f>
        <v>25499.999999999985</v>
      </c>
      <c r="E69" s="159">
        <f>E22+E41+E50+E55+E61</f>
        <v>13813000</v>
      </c>
      <c r="F69" s="159"/>
    </row>
    <row r="70" spans="1:6" ht="16.5" customHeight="1" hidden="1">
      <c r="A70" s="4"/>
      <c r="B70" s="404" t="s">
        <v>497</v>
      </c>
      <c r="C70" s="162"/>
      <c r="D70" s="162"/>
      <c r="E70" s="162">
        <f>E7+E8+E9+E10+E11+E12+E14+E15+E16+E17+E19+E21+E38+E39+E40+E49+E54+E59+E60</f>
        <v>13813000</v>
      </c>
      <c r="F70" s="162"/>
    </row>
    <row r="71" spans="1:5" ht="15.75" customHeight="1" hidden="1">
      <c r="A71" s="162"/>
      <c r="B71" s="162" t="s">
        <v>498</v>
      </c>
      <c r="E71" s="162">
        <f>E24+E25+E26+E27+E28+E29+E30+E31+E33+E34+E42+E43+E44+E51+E56+E62+E63</f>
        <v>13813000</v>
      </c>
    </row>
    <row r="72" spans="1:2" ht="12.75">
      <c r="A72" s="162"/>
      <c r="B72" s="162"/>
    </row>
    <row r="73" spans="1:6" ht="17.25" customHeight="1">
      <c r="A73" s="162"/>
      <c r="B73" s="162"/>
      <c r="C73" s="162"/>
      <c r="D73" s="162"/>
      <c r="E73" s="162"/>
      <c r="F73" s="162"/>
    </row>
    <row r="74" spans="1:6" ht="12.75">
      <c r="A74" s="162"/>
      <c r="B74" s="162"/>
      <c r="C74" s="162"/>
      <c r="D74" s="162"/>
      <c r="E74" s="162"/>
      <c r="F74" s="162"/>
    </row>
    <row r="75" spans="1:6" ht="12.75">
      <c r="A75" s="162"/>
      <c r="B75" s="162"/>
      <c r="C75" s="163"/>
      <c r="D75" s="163"/>
      <c r="E75" s="163"/>
      <c r="F75" s="163"/>
    </row>
    <row r="76" spans="1:2" ht="12.75">
      <c r="A76" s="162"/>
      <c r="B76" s="162"/>
    </row>
    <row r="77" spans="1:2" ht="23.25" customHeight="1">
      <c r="A77" s="162"/>
      <c r="B77" s="162"/>
    </row>
    <row r="78" spans="1:2" ht="16.5" customHeight="1">
      <c r="A78" s="162"/>
      <c r="B78" s="162"/>
    </row>
    <row r="79" spans="1:2" ht="12.75">
      <c r="A79" s="162"/>
      <c r="B79" s="162"/>
    </row>
    <row r="80" spans="1:2" ht="12.75">
      <c r="A80" s="162"/>
      <c r="B80" s="162"/>
    </row>
    <row r="81" spans="1:2" ht="15" customHeight="1">
      <c r="A81" s="162"/>
      <c r="B81" s="162"/>
    </row>
    <row r="82" spans="1:2" ht="12.75">
      <c r="A82" s="162"/>
      <c r="B82" s="162"/>
    </row>
    <row r="83" spans="1:2" ht="26.25" customHeight="1">
      <c r="A83" s="162"/>
      <c r="B83" s="162"/>
    </row>
    <row r="84" spans="1:2" ht="12.75">
      <c r="A84" s="162"/>
      <c r="B84" s="162"/>
    </row>
    <row r="85" spans="1:2" ht="12.75">
      <c r="A85" s="162"/>
      <c r="B85" s="162"/>
    </row>
    <row r="86" spans="1:2" ht="12.75">
      <c r="A86" s="162"/>
      <c r="B86" s="162"/>
    </row>
    <row r="87" spans="1:2" ht="12.75">
      <c r="A87" s="162"/>
      <c r="B87" s="162"/>
    </row>
    <row r="88" spans="1:2" ht="12.75">
      <c r="A88" s="162"/>
      <c r="B88" s="162"/>
    </row>
    <row r="89" spans="1:2" ht="12.75">
      <c r="A89" s="162"/>
      <c r="B89" s="162"/>
    </row>
    <row r="90" spans="1:2" ht="15.75" customHeight="1">
      <c r="A90" s="162"/>
      <c r="B90" s="162"/>
    </row>
    <row r="91" spans="1:7" ht="12.75">
      <c r="A91" s="162"/>
      <c r="B91" s="162"/>
      <c r="G91" s="2"/>
    </row>
    <row r="92" spans="1:2" ht="12.75">
      <c r="A92" s="162"/>
      <c r="B92" s="162"/>
    </row>
    <row r="93" spans="1:2" ht="12.75">
      <c r="A93" s="162"/>
      <c r="B93" s="162"/>
    </row>
    <row r="94" spans="1:2" ht="12.75" customHeight="1">
      <c r="A94" s="162"/>
      <c r="B94" s="162"/>
    </row>
    <row r="95" spans="1:2" ht="12.75">
      <c r="A95" s="162"/>
      <c r="B95" s="162"/>
    </row>
    <row r="96" spans="1:2" ht="12.75">
      <c r="A96" s="162"/>
      <c r="B96" s="162"/>
    </row>
    <row r="97" spans="1:2" ht="12.75">
      <c r="A97" s="162"/>
      <c r="B97" s="162"/>
    </row>
    <row r="98" spans="1:2" ht="12.75">
      <c r="A98" s="162"/>
      <c r="B98" s="162"/>
    </row>
    <row r="99" spans="1:2" ht="12.75">
      <c r="A99" s="162"/>
      <c r="B99" s="162"/>
    </row>
    <row r="100" spans="1:2" ht="12.75">
      <c r="A100" s="162"/>
      <c r="B100" s="162"/>
    </row>
    <row r="101" spans="1:2" ht="12.75">
      <c r="A101" s="162"/>
      <c r="B101" s="162"/>
    </row>
    <row r="102" spans="1:2" ht="12.75">
      <c r="A102" s="162"/>
      <c r="B102" s="162"/>
    </row>
    <row r="103" spans="1:2" ht="12.75">
      <c r="A103" s="162"/>
      <c r="B103" s="162"/>
    </row>
    <row r="104" spans="1:2" ht="12.75">
      <c r="A104" s="162"/>
      <c r="B104" s="162"/>
    </row>
    <row r="105" spans="1:2" ht="12.75">
      <c r="A105" s="162"/>
      <c r="B105" s="162"/>
    </row>
    <row r="106" spans="1:2" ht="12.75">
      <c r="A106" s="162"/>
      <c r="B106" s="162"/>
    </row>
    <row r="107" spans="1:8" s="160" customFormat="1" ht="12.75">
      <c r="A107" s="162"/>
      <c r="B107" s="162"/>
      <c r="G107"/>
      <c r="H107"/>
    </row>
    <row r="108" spans="1:8" s="160" customFormat="1" ht="12.75">
      <c r="A108" s="162"/>
      <c r="B108" s="162"/>
      <c r="G108"/>
      <c r="H108"/>
    </row>
    <row r="109" spans="1:8" s="160" customFormat="1" ht="12.75">
      <c r="A109" s="162"/>
      <c r="B109" s="162"/>
      <c r="G109"/>
      <c r="H109"/>
    </row>
    <row r="110" spans="1:8" s="160" customFormat="1" ht="12.75">
      <c r="A110" s="162"/>
      <c r="B110" s="162"/>
      <c r="G110"/>
      <c r="H110"/>
    </row>
    <row r="111" spans="1:8" s="160" customFormat="1" ht="12.75">
      <c r="A111" s="162"/>
      <c r="B111" s="162"/>
      <c r="G111"/>
      <c r="H111"/>
    </row>
    <row r="112" spans="1:8" s="160" customFormat="1" ht="12.75">
      <c r="A112" s="162"/>
      <c r="B112" s="162"/>
      <c r="G112"/>
      <c r="H112"/>
    </row>
    <row r="113" spans="1:8" s="160" customFormat="1" ht="12.75">
      <c r="A113" s="162"/>
      <c r="B113" s="162"/>
      <c r="G113"/>
      <c r="H113"/>
    </row>
    <row r="114" spans="1:8" s="160" customFormat="1" ht="12.75">
      <c r="A114" s="162"/>
      <c r="B114" s="162"/>
      <c r="G114"/>
      <c r="H114"/>
    </row>
    <row r="115" spans="1:8" s="160" customFormat="1" ht="12.75">
      <c r="A115" s="162"/>
      <c r="B115" s="162"/>
      <c r="G115"/>
      <c r="H115"/>
    </row>
    <row r="116" spans="1:8" s="160" customFormat="1" ht="12.75">
      <c r="A116" s="162"/>
      <c r="B116" s="162"/>
      <c r="G116"/>
      <c r="H116"/>
    </row>
    <row r="117" spans="1:8" s="160" customFormat="1" ht="12.75">
      <c r="A117" s="162"/>
      <c r="B117" s="162"/>
      <c r="G117"/>
      <c r="H117"/>
    </row>
    <row r="118" spans="1:8" s="160" customFormat="1" ht="12.75">
      <c r="A118" s="162"/>
      <c r="B118" s="162"/>
      <c r="G118"/>
      <c r="H118"/>
    </row>
    <row r="119" spans="1:8" s="160" customFormat="1" ht="12.75">
      <c r="A119" s="162"/>
      <c r="B119" s="162"/>
      <c r="G119"/>
      <c r="H119"/>
    </row>
    <row r="120" spans="1:8" s="160" customFormat="1" ht="12.75">
      <c r="A120" s="162"/>
      <c r="B120" s="162"/>
      <c r="G120"/>
      <c r="H120"/>
    </row>
    <row r="121" spans="1:8" s="160" customFormat="1" ht="12.75">
      <c r="A121" s="162"/>
      <c r="B121" s="162"/>
      <c r="G121"/>
      <c r="H121"/>
    </row>
    <row r="122" spans="1:8" s="160" customFormat="1" ht="12.75">
      <c r="A122" s="162"/>
      <c r="B122" s="162"/>
      <c r="G122"/>
      <c r="H122"/>
    </row>
    <row r="123" spans="1:8" s="160" customFormat="1" ht="12.75">
      <c r="A123" s="162"/>
      <c r="B123" s="162"/>
      <c r="G123"/>
      <c r="H123"/>
    </row>
    <row r="124" spans="1:8" s="160" customFormat="1" ht="12.75">
      <c r="A124" s="162"/>
      <c r="B124" s="162"/>
      <c r="G124"/>
      <c r="H124"/>
    </row>
    <row r="125" spans="1:8" s="160" customFormat="1" ht="12.75">
      <c r="A125" s="162"/>
      <c r="B125" s="162"/>
      <c r="G125"/>
      <c r="H125"/>
    </row>
    <row r="126" spans="1:8" s="160" customFormat="1" ht="12.75">
      <c r="A126" s="162"/>
      <c r="B126" s="162"/>
      <c r="G126"/>
      <c r="H126"/>
    </row>
    <row r="127" spans="1:8" s="160" customFormat="1" ht="12.75">
      <c r="A127" s="162"/>
      <c r="B127" s="162"/>
      <c r="G127"/>
      <c r="H127"/>
    </row>
    <row r="128" spans="1:8" s="160" customFormat="1" ht="12.75">
      <c r="A128" s="162"/>
      <c r="B128" s="162"/>
      <c r="G128"/>
      <c r="H128"/>
    </row>
    <row r="129" spans="1:8" s="160" customFormat="1" ht="12.75">
      <c r="A129" s="162"/>
      <c r="B129" s="162"/>
      <c r="G129"/>
      <c r="H129"/>
    </row>
    <row r="130" spans="1:8" s="160" customFormat="1" ht="12.75">
      <c r="A130" s="162"/>
      <c r="B130" s="162"/>
      <c r="G130"/>
      <c r="H130"/>
    </row>
    <row r="131" spans="1:8" s="160" customFormat="1" ht="12.75">
      <c r="A131" s="162"/>
      <c r="B131" s="162"/>
      <c r="G131"/>
      <c r="H131"/>
    </row>
    <row r="132" spans="1:8" s="160" customFormat="1" ht="12.75">
      <c r="A132" s="162"/>
      <c r="B132" s="162"/>
      <c r="G132"/>
      <c r="H132"/>
    </row>
    <row r="133" spans="1:8" s="160" customFormat="1" ht="12.75">
      <c r="A133" s="162"/>
      <c r="B133" s="162"/>
      <c r="G133"/>
      <c r="H133"/>
    </row>
    <row r="134" spans="1:8" s="160" customFormat="1" ht="12.75">
      <c r="A134" s="162"/>
      <c r="B134" s="162"/>
      <c r="G134"/>
      <c r="H134"/>
    </row>
    <row r="135" spans="1:8" s="160" customFormat="1" ht="12.75">
      <c r="A135" s="162"/>
      <c r="B135" s="162"/>
      <c r="G135"/>
      <c r="H135"/>
    </row>
    <row r="136" spans="1:8" s="160" customFormat="1" ht="12.75">
      <c r="A136" s="162"/>
      <c r="B136" s="162"/>
      <c r="G136"/>
      <c r="H136"/>
    </row>
    <row r="137" spans="1:8" s="160" customFormat="1" ht="12.75">
      <c r="A137" s="162"/>
      <c r="B137" s="162"/>
      <c r="G137"/>
      <c r="H137"/>
    </row>
    <row r="138" spans="1:8" s="160" customFormat="1" ht="12.75">
      <c r="A138" s="162"/>
      <c r="B138" s="162"/>
      <c r="G138"/>
      <c r="H138"/>
    </row>
    <row r="139" spans="1:6" ht="12.75">
      <c r="A139" s="162"/>
      <c r="B139" s="3"/>
      <c r="C139" s="162"/>
      <c r="D139" s="162"/>
      <c r="E139" s="162"/>
      <c r="F139" s="162"/>
    </row>
    <row r="140" spans="1:6" ht="12.75">
      <c r="A140" s="4"/>
      <c r="B140" s="3"/>
      <c r="C140" s="162"/>
      <c r="D140" s="162"/>
      <c r="E140" s="162"/>
      <c r="F140" s="162"/>
    </row>
    <row r="141" spans="1:6" ht="12.75">
      <c r="A141" s="4"/>
      <c r="B141" s="3"/>
      <c r="C141" s="162"/>
      <c r="D141" s="162"/>
      <c r="E141" s="162"/>
      <c r="F141" s="162"/>
    </row>
    <row r="142" spans="1:6" ht="12.75">
      <c r="A142" s="4"/>
      <c r="B142" s="3"/>
      <c r="C142" s="162"/>
      <c r="D142" s="162"/>
      <c r="E142" s="162"/>
      <c r="F142" s="162"/>
    </row>
    <row r="143" spans="1:6" ht="12.75">
      <c r="A143" s="4"/>
      <c r="B143" s="3"/>
      <c r="C143" s="162"/>
      <c r="D143" s="162"/>
      <c r="E143" s="162"/>
      <c r="F143" s="162"/>
    </row>
    <row r="144" spans="1:6" ht="12.75">
      <c r="A144" s="4"/>
      <c r="B144" s="3"/>
      <c r="C144" s="162"/>
      <c r="D144" s="162"/>
      <c r="E144" s="162"/>
      <c r="F144" s="162"/>
    </row>
    <row r="145" spans="1:6" ht="12.75">
      <c r="A145" s="4"/>
      <c r="B145" s="3"/>
      <c r="C145" s="162"/>
      <c r="D145" s="162"/>
      <c r="E145" s="162"/>
      <c r="F145" s="162"/>
    </row>
    <row r="146" spans="1:6" ht="12.75">
      <c r="A146" s="4"/>
      <c r="B146" s="3"/>
      <c r="C146" s="162"/>
      <c r="D146" s="162"/>
      <c r="E146" s="162"/>
      <c r="F146" s="162"/>
    </row>
    <row r="147" spans="1:6" ht="12.75">
      <c r="A147" s="4"/>
      <c r="B147" s="3"/>
      <c r="C147" s="162"/>
      <c r="D147" s="162"/>
      <c r="E147" s="162"/>
      <c r="F147" s="162"/>
    </row>
    <row r="148" spans="1:6" ht="12.75">
      <c r="A148" s="4"/>
      <c r="B148" s="3"/>
      <c r="C148" s="162"/>
      <c r="D148" s="162"/>
      <c r="E148" s="162"/>
      <c r="F148" s="162"/>
    </row>
    <row r="149" spans="1:6" ht="12.75">
      <c r="A149" s="4"/>
      <c r="B149" s="3"/>
      <c r="C149" s="162"/>
      <c r="D149" s="162"/>
      <c r="E149" s="162"/>
      <c r="F149" s="162"/>
    </row>
    <row r="150" spans="1:6" ht="12.75">
      <c r="A150" s="4"/>
      <c r="B150" s="3"/>
      <c r="C150" s="162"/>
      <c r="D150" s="162"/>
      <c r="E150" s="162"/>
      <c r="F150" s="162"/>
    </row>
    <row r="151" spans="1:7" s="160" customFormat="1" ht="12.75">
      <c r="A151" s="4"/>
      <c r="B151" s="3"/>
      <c r="C151" s="162"/>
      <c r="D151" s="162"/>
      <c r="E151" s="162"/>
      <c r="F151" s="162"/>
      <c r="G151"/>
    </row>
    <row r="152" spans="1:7" s="160" customFormat="1" ht="12.75">
      <c r="A152" s="4"/>
      <c r="B152" s="3"/>
      <c r="C152" s="162"/>
      <c r="D152" s="162"/>
      <c r="E152" s="162"/>
      <c r="F152" s="162"/>
      <c r="G152"/>
    </row>
    <row r="153" spans="1:7" s="160" customFormat="1" ht="12.75">
      <c r="A153" s="4"/>
      <c r="B153" s="3"/>
      <c r="C153" s="162"/>
      <c r="D153" s="162"/>
      <c r="E153" s="162"/>
      <c r="F153" s="162"/>
      <c r="G153"/>
    </row>
    <row r="154" spans="1:7" s="160" customFormat="1" ht="12.75">
      <c r="A154" s="4"/>
      <c r="B154" s="3"/>
      <c r="C154" s="162"/>
      <c r="D154" s="162"/>
      <c r="E154" s="162"/>
      <c r="F154" s="162"/>
      <c r="G154"/>
    </row>
    <row r="155" spans="1:7" s="160" customFormat="1" ht="12.75">
      <c r="A155" s="4"/>
      <c r="B155" s="3"/>
      <c r="C155" s="162"/>
      <c r="D155" s="162"/>
      <c r="E155" s="162"/>
      <c r="F155" s="162"/>
      <c r="G155"/>
    </row>
    <row r="156" spans="1:7" s="160" customFormat="1" ht="12.75">
      <c r="A156" s="4"/>
      <c r="B156" s="3"/>
      <c r="C156" s="162"/>
      <c r="D156" s="162"/>
      <c r="E156" s="162"/>
      <c r="F156" s="162"/>
      <c r="G156"/>
    </row>
    <row r="157" spans="1:7" s="160" customFormat="1" ht="12.75">
      <c r="A157" s="4"/>
      <c r="B157" s="3"/>
      <c r="C157" s="162"/>
      <c r="D157" s="162"/>
      <c r="E157" s="162"/>
      <c r="F157" s="162"/>
      <c r="G157"/>
    </row>
    <row r="158" spans="1:7" s="160" customFormat="1" ht="12.75">
      <c r="A158" s="4"/>
      <c r="B158" s="3"/>
      <c r="C158" s="162"/>
      <c r="D158" s="162"/>
      <c r="E158" s="162"/>
      <c r="F158" s="162"/>
      <c r="G158"/>
    </row>
    <row r="159" spans="1:7" s="160" customFormat="1" ht="12.75">
      <c r="A159" s="4"/>
      <c r="B159" s="3"/>
      <c r="C159" s="162"/>
      <c r="D159" s="162"/>
      <c r="E159" s="162"/>
      <c r="F159" s="162"/>
      <c r="G159"/>
    </row>
    <row r="160" spans="1:7" s="160" customFormat="1" ht="12.75">
      <c r="A160" s="4"/>
      <c r="B160" s="3"/>
      <c r="C160" s="162"/>
      <c r="D160" s="162"/>
      <c r="E160" s="162"/>
      <c r="F160" s="162"/>
      <c r="G160"/>
    </row>
    <row r="161" spans="1:7" s="160" customFormat="1" ht="12.75">
      <c r="A161" s="4"/>
      <c r="B161" s="3"/>
      <c r="C161" s="162"/>
      <c r="D161" s="162"/>
      <c r="E161" s="162"/>
      <c r="F161" s="162"/>
      <c r="G161"/>
    </row>
    <row r="162" spans="1:7" s="160" customFormat="1" ht="12.75">
      <c r="A162" s="4"/>
      <c r="B162" s="3"/>
      <c r="C162" s="162"/>
      <c r="D162" s="162"/>
      <c r="E162" s="162"/>
      <c r="F162" s="162"/>
      <c r="G162"/>
    </row>
    <row r="163" spans="1:7" s="160" customFormat="1" ht="12.75">
      <c r="A163" s="4"/>
      <c r="B163" s="3"/>
      <c r="C163" s="162"/>
      <c r="D163" s="162"/>
      <c r="E163" s="162"/>
      <c r="F163" s="162"/>
      <c r="G163"/>
    </row>
    <row r="164" spans="1:7" s="160" customFormat="1" ht="12.75">
      <c r="A164" s="4"/>
      <c r="B164" s="3"/>
      <c r="C164" s="162"/>
      <c r="D164" s="162"/>
      <c r="E164" s="162"/>
      <c r="F164" s="162"/>
      <c r="G164"/>
    </row>
    <row r="165" spans="1:7" s="160" customFormat="1" ht="12.75">
      <c r="A165" s="4"/>
      <c r="B165"/>
      <c r="C165" s="162"/>
      <c r="D165" s="162"/>
      <c r="E165" s="162"/>
      <c r="F165" s="162"/>
      <c r="G165"/>
    </row>
  </sheetData>
  <sheetProtection/>
  <mergeCells count="7">
    <mergeCell ref="A1:F1"/>
    <mergeCell ref="A2:A3"/>
    <mergeCell ref="B2:B3"/>
    <mergeCell ref="C2:C3"/>
    <mergeCell ref="F2:F3"/>
    <mergeCell ref="D2:D3"/>
    <mergeCell ref="E2:E3"/>
  </mergeCells>
  <printOptions horizontalCentered="1"/>
  <pageMargins left="0.16" right="0.17" top="0.35" bottom="0.32" header="0.275590551181102" footer="0.16"/>
  <pageSetup horizontalDpi="600" verticalDpi="600" orientation="landscape" paperSize="9" scale="110" r:id="rId1"/>
  <headerFooter alignWithMargins="0">
    <oddFooter>&amp;R&amp;P</oddFooter>
  </headerFooter>
  <rowBreaks count="2" manualBreakCount="2">
    <brk id="29" max="6" man="1"/>
    <brk id="5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73"/>
  <sheetViews>
    <sheetView zoomScalePageLayoutView="0" workbookViewId="0" topLeftCell="A1">
      <pane ySplit="3" topLeftCell="A91" activePane="bottomLeft" state="frozen"/>
      <selection pane="topLeft" activeCell="A1" sqref="A1"/>
      <selection pane="bottomLeft" activeCell="C104" sqref="C104"/>
    </sheetView>
  </sheetViews>
  <sheetFormatPr defaultColWidth="9.140625" defaultRowHeight="12.75"/>
  <cols>
    <col min="1" max="1" width="10.7109375" style="0" bestFit="1" customWidth="1"/>
    <col min="2" max="2" width="8.140625" style="0" customWidth="1"/>
    <col min="3" max="3" width="57.421875" style="0" customWidth="1"/>
    <col min="4" max="6" width="14.421875" style="160" customWidth="1"/>
    <col min="7" max="7" width="10.140625" style="160" customWidth="1"/>
    <col min="8" max="8" width="9.421875" style="160" customWidth="1"/>
    <col min="9" max="9" width="8.00390625" style="0" hidden="1" customWidth="1"/>
    <col min="10" max="10" width="16.28125" style="0" hidden="1" customWidth="1"/>
    <col min="11" max="11" width="16.7109375" style="0" hidden="1" customWidth="1"/>
    <col min="12" max="12" width="14.8515625" style="0" customWidth="1"/>
    <col min="13" max="13" width="11.00390625" style="0" bestFit="1" customWidth="1"/>
  </cols>
  <sheetData>
    <row r="1" spans="1:8" ht="39.75" customHeight="1" thickBot="1">
      <c r="A1" s="485" t="s">
        <v>475</v>
      </c>
      <c r="B1" s="485"/>
      <c r="C1" s="485"/>
      <c r="D1" s="485"/>
      <c r="E1" s="485"/>
      <c r="F1" s="485"/>
      <c r="G1" s="485"/>
      <c r="H1" s="485"/>
    </row>
    <row r="2" spans="1:8" ht="18.75" customHeight="1" thickTop="1">
      <c r="A2" s="486" t="s">
        <v>64</v>
      </c>
      <c r="B2" s="488" t="s">
        <v>306</v>
      </c>
      <c r="C2" s="488" t="s">
        <v>237</v>
      </c>
      <c r="D2" s="490" t="s">
        <v>493</v>
      </c>
      <c r="E2" s="494" t="s">
        <v>521</v>
      </c>
      <c r="F2" s="494" t="s">
        <v>481</v>
      </c>
      <c r="G2" s="494" t="s">
        <v>533</v>
      </c>
      <c r="H2" s="496" t="s">
        <v>135</v>
      </c>
    </row>
    <row r="3" spans="1:11" ht="44.25" customHeight="1">
      <c r="A3" s="487"/>
      <c r="B3" s="489"/>
      <c r="C3" s="489"/>
      <c r="D3" s="491"/>
      <c r="E3" s="495"/>
      <c r="F3" s="495"/>
      <c r="G3" s="495"/>
      <c r="H3" s="497"/>
      <c r="K3" s="438" t="s">
        <v>528</v>
      </c>
    </row>
    <row r="4" spans="1:8" s="5" customFormat="1" ht="12.75" customHeight="1">
      <c r="A4" s="246">
        <v>1</v>
      </c>
      <c r="B4" s="113">
        <v>2</v>
      </c>
      <c r="C4" s="113">
        <v>3</v>
      </c>
      <c r="D4" s="113">
        <v>4</v>
      </c>
      <c r="E4" s="113" t="s">
        <v>490</v>
      </c>
      <c r="F4" s="113">
        <v>6</v>
      </c>
      <c r="G4" s="113" t="s">
        <v>491</v>
      </c>
      <c r="H4" s="114">
        <v>8</v>
      </c>
    </row>
    <row r="5" spans="1:11" ht="19.5" customHeight="1">
      <c r="A5" s="247"/>
      <c r="B5" s="26"/>
      <c r="C5" s="182" t="s">
        <v>307</v>
      </c>
      <c r="D5" s="183">
        <f>D6+D21+D64+D72</f>
        <v>13556700</v>
      </c>
      <c r="E5" s="183">
        <f>E6+E21+E64+E72</f>
        <v>187300</v>
      </c>
      <c r="F5" s="183">
        <f>F6+F21+F64+F72</f>
        <v>13744000</v>
      </c>
      <c r="G5" s="183">
        <f>F5/D5*100</f>
        <v>101.38160466780263</v>
      </c>
      <c r="H5" s="248">
        <f aca="true" t="shared" si="0" ref="H5:H36">F5/$F$90*100</f>
        <v>99.8546934030805</v>
      </c>
      <c r="I5" s="93"/>
      <c r="J5" s="1"/>
      <c r="K5" s="1"/>
    </row>
    <row r="6" spans="1:10" ht="15" customHeight="1">
      <c r="A6" s="153">
        <v>710000</v>
      </c>
      <c r="B6" s="24"/>
      <c r="C6" s="55" t="s">
        <v>254</v>
      </c>
      <c r="D6" s="67">
        <f>D7+D9+D12+D14+D17+D19</f>
        <v>10100000</v>
      </c>
      <c r="E6" s="67">
        <f>E7+E9+E12+E14+E17+E19</f>
        <v>-165400</v>
      </c>
      <c r="F6" s="67">
        <f>F7+F9+F12+F14+F17+F19</f>
        <v>9934600</v>
      </c>
      <c r="G6" s="371">
        <f aca="true" t="shared" si="1" ref="G6:G71">F6/D6*100</f>
        <v>98.36237623762376</v>
      </c>
      <c r="H6" s="372">
        <f t="shared" si="0"/>
        <v>72.1781458878233</v>
      </c>
      <c r="I6" s="93"/>
      <c r="J6" s="1"/>
    </row>
    <row r="7" spans="1:10" ht="14.25" customHeight="1">
      <c r="A7" s="249">
        <v>711100</v>
      </c>
      <c r="B7" s="32"/>
      <c r="C7" s="82" t="s">
        <v>216</v>
      </c>
      <c r="D7" s="90">
        <f>SUM(D8)</f>
        <v>4000</v>
      </c>
      <c r="E7" s="90">
        <f>SUM(E8)</f>
        <v>-2400</v>
      </c>
      <c r="F7" s="90">
        <f>SUM(F8)</f>
        <v>1600</v>
      </c>
      <c r="G7" s="369">
        <f t="shared" si="1"/>
        <v>40</v>
      </c>
      <c r="H7" s="370">
        <f t="shared" si="0"/>
        <v>0.011624527753560012</v>
      </c>
      <c r="I7" s="93"/>
      <c r="J7" s="1"/>
    </row>
    <row r="8" spans="1:10" ht="14.25" customHeight="1">
      <c r="A8" s="250">
        <v>711113</v>
      </c>
      <c r="B8" s="18"/>
      <c r="C8" s="95" t="s">
        <v>255</v>
      </c>
      <c r="D8" s="69">
        <v>4000</v>
      </c>
      <c r="E8" s="69">
        <f>F8-D8</f>
        <v>-2400</v>
      </c>
      <c r="F8" s="69">
        <v>1600</v>
      </c>
      <c r="G8" s="321">
        <f t="shared" si="1"/>
        <v>40</v>
      </c>
      <c r="H8" s="373">
        <f t="shared" si="0"/>
        <v>0.011624527753560012</v>
      </c>
      <c r="I8" s="93"/>
      <c r="J8" s="1"/>
    </row>
    <row r="9" spans="1:11" ht="24.75" customHeight="1">
      <c r="A9" s="153">
        <v>713000</v>
      </c>
      <c r="B9" s="24"/>
      <c r="C9" s="27" t="s">
        <v>5</v>
      </c>
      <c r="D9" s="90">
        <f>SUM(D10:D11)</f>
        <v>1140000</v>
      </c>
      <c r="E9" s="90">
        <f>SUM(E10:E11)</f>
        <v>15000</v>
      </c>
      <c r="F9" s="90">
        <f>SUM(F10:F11)</f>
        <v>1155000</v>
      </c>
      <c r="G9" s="369">
        <f t="shared" si="1"/>
        <v>101.3157894736842</v>
      </c>
      <c r="H9" s="370">
        <f t="shared" si="0"/>
        <v>8.391455972101133</v>
      </c>
      <c r="I9" s="93"/>
      <c r="J9" s="1"/>
      <c r="K9" s="1"/>
    </row>
    <row r="10" spans="1:10" ht="14.25" customHeight="1">
      <c r="A10" s="250" t="s">
        <v>6</v>
      </c>
      <c r="B10" s="18"/>
      <c r="C10" s="28" t="s">
        <v>256</v>
      </c>
      <c r="D10" s="68">
        <v>145000</v>
      </c>
      <c r="E10" s="68">
        <f>F10-D10</f>
        <v>15000</v>
      </c>
      <c r="F10" s="68">
        <v>160000</v>
      </c>
      <c r="G10" s="321">
        <f t="shared" si="1"/>
        <v>110.34482758620689</v>
      </c>
      <c r="H10" s="373">
        <f t="shared" si="0"/>
        <v>1.1624527753560012</v>
      </c>
      <c r="I10" s="93"/>
      <c r="J10" s="1"/>
    </row>
    <row r="11" spans="1:10" ht="14.25" customHeight="1">
      <c r="A11" s="250" t="s">
        <v>7</v>
      </c>
      <c r="B11" s="18"/>
      <c r="C11" s="30" t="s">
        <v>8</v>
      </c>
      <c r="D11" s="68">
        <v>995000</v>
      </c>
      <c r="E11" s="68">
        <f>F11-D11</f>
        <v>0</v>
      </c>
      <c r="F11" s="68">
        <v>995000</v>
      </c>
      <c r="G11" s="321">
        <f t="shared" si="1"/>
        <v>100</v>
      </c>
      <c r="H11" s="373">
        <f t="shared" si="0"/>
        <v>7.229003196745132</v>
      </c>
      <c r="I11" s="93"/>
      <c r="J11" s="1"/>
    </row>
    <row r="12" spans="1:10" ht="14.25" customHeight="1">
      <c r="A12" s="153">
        <v>714000</v>
      </c>
      <c r="B12" s="24"/>
      <c r="C12" s="27" t="s">
        <v>9</v>
      </c>
      <c r="D12" s="90">
        <f>SUM(D13:D13)</f>
        <v>390000</v>
      </c>
      <c r="E12" s="90">
        <f>SUM(E13:E13)</f>
        <v>-100000</v>
      </c>
      <c r="F12" s="90">
        <f>SUM(F13:F13)</f>
        <v>290000</v>
      </c>
      <c r="G12" s="369">
        <f t="shared" si="1"/>
        <v>74.35897435897436</v>
      </c>
      <c r="H12" s="370">
        <f t="shared" si="0"/>
        <v>2.106945655332752</v>
      </c>
      <c r="I12" s="93"/>
      <c r="J12" s="1"/>
    </row>
    <row r="13" spans="1:10" ht="14.25" customHeight="1">
      <c r="A13" s="247">
        <v>714112</v>
      </c>
      <c r="B13" s="24"/>
      <c r="C13" s="45" t="s">
        <v>442</v>
      </c>
      <c r="D13" s="69">
        <v>390000</v>
      </c>
      <c r="E13" s="69">
        <f>F13-D13</f>
        <v>-100000</v>
      </c>
      <c r="F13" s="69">
        <v>290000</v>
      </c>
      <c r="G13" s="321">
        <f t="shared" si="1"/>
        <v>74.35897435897436</v>
      </c>
      <c r="H13" s="373">
        <f t="shared" si="0"/>
        <v>2.106945655332752</v>
      </c>
      <c r="I13" s="93"/>
      <c r="J13" s="1"/>
    </row>
    <row r="14" spans="1:10" ht="14.25" customHeight="1">
      <c r="A14" s="153">
        <v>715000</v>
      </c>
      <c r="B14" s="24"/>
      <c r="C14" s="27" t="s">
        <v>179</v>
      </c>
      <c r="D14" s="90">
        <f>SUM(D15:D16)</f>
        <v>140000</v>
      </c>
      <c r="E14" s="90">
        <f>SUM(E15:E16)</f>
        <v>-32000</v>
      </c>
      <c r="F14" s="90">
        <f>SUM(F15:F16)</f>
        <v>108000</v>
      </c>
      <c r="G14" s="369">
        <f t="shared" si="1"/>
        <v>77.14285714285715</v>
      </c>
      <c r="H14" s="370">
        <f t="shared" si="0"/>
        <v>0.7846556233653008</v>
      </c>
      <c r="I14" s="93"/>
      <c r="J14" s="1"/>
    </row>
    <row r="15" spans="1:10" ht="14.25" customHeight="1">
      <c r="A15" s="251">
        <v>715110</v>
      </c>
      <c r="B15" s="38"/>
      <c r="C15" s="28" t="s">
        <v>10</v>
      </c>
      <c r="D15" s="68">
        <v>115000</v>
      </c>
      <c r="E15" s="68">
        <f>F15-D15</f>
        <v>-27000</v>
      </c>
      <c r="F15" s="68">
        <v>88000</v>
      </c>
      <c r="G15" s="321">
        <f t="shared" si="1"/>
        <v>76.52173913043478</v>
      </c>
      <c r="H15" s="373">
        <f t="shared" si="0"/>
        <v>0.6393490264458007</v>
      </c>
      <c r="I15" s="93"/>
      <c r="J15" s="1"/>
    </row>
    <row r="16" spans="1:10" ht="14.25" customHeight="1">
      <c r="A16" s="250">
        <v>715210</v>
      </c>
      <c r="B16" s="18"/>
      <c r="C16" s="30" t="s">
        <v>11</v>
      </c>
      <c r="D16" s="68">
        <v>25000</v>
      </c>
      <c r="E16" s="68">
        <f>F16-D16</f>
        <v>-5000</v>
      </c>
      <c r="F16" s="68">
        <v>20000</v>
      </c>
      <c r="G16" s="321">
        <f t="shared" si="1"/>
        <v>80</v>
      </c>
      <c r="H16" s="373">
        <f t="shared" si="0"/>
        <v>0.14530659691950015</v>
      </c>
      <c r="I16" s="93"/>
      <c r="J16" s="1">
        <v>10000</v>
      </c>
    </row>
    <row r="17" spans="1:10" ht="14.25" customHeight="1">
      <c r="A17" s="252">
        <v>717000</v>
      </c>
      <c r="B17" s="77"/>
      <c r="C17" s="81" t="s">
        <v>401</v>
      </c>
      <c r="D17" s="90">
        <f>SUM(D18)</f>
        <v>8410000</v>
      </c>
      <c r="E17" s="90">
        <f>SUM(E18)</f>
        <v>-40000</v>
      </c>
      <c r="F17" s="90">
        <f>SUM(F18)</f>
        <v>8370000</v>
      </c>
      <c r="G17" s="369">
        <f t="shared" si="1"/>
        <v>99.52437574316289</v>
      </c>
      <c r="H17" s="370">
        <f t="shared" si="0"/>
        <v>60.810810810810814</v>
      </c>
      <c r="I17" s="93"/>
      <c r="J17" s="1"/>
    </row>
    <row r="18" spans="1:10" ht="14.25" customHeight="1">
      <c r="A18" s="259">
        <v>717191</v>
      </c>
      <c r="B18" s="38"/>
      <c r="C18" s="30" t="s">
        <v>444</v>
      </c>
      <c r="D18" s="69">
        <v>8410000</v>
      </c>
      <c r="E18" s="69">
        <f>F18-D18</f>
        <v>-40000</v>
      </c>
      <c r="F18" s="69">
        <v>8370000</v>
      </c>
      <c r="G18" s="321">
        <f t="shared" si="1"/>
        <v>99.52437574316289</v>
      </c>
      <c r="H18" s="373">
        <f t="shared" si="0"/>
        <v>60.810810810810814</v>
      </c>
      <c r="I18" s="93"/>
      <c r="J18" s="1"/>
    </row>
    <row r="19" spans="1:10" ht="14.25" customHeight="1">
      <c r="A19" s="153">
        <v>719000</v>
      </c>
      <c r="B19" s="24"/>
      <c r="C19" s="27" t="s">
        <v>402</v>
      </c>
      <c r="D19" s="90">
        <f>SUM(D20)</f>
        <v>16000</v>
      </c>
      <c r="E19" s="90">
        <f>SUM(E20)</f>
        <v>-6000</v>
      </c>
      <c r="F19" s="90">
        <f>SUM(F20)</f>
        <v>10000</v>
      </c>
      <c r="G19" s="369">
        <f t="shared" si="1"/>
        <v>62.5</v>
      </c>
      <c r="H19" s="370">
        <f t="shared" si="0"/>
        <v>0.07265329845975008</v>
      </c>
      <c r="I19" s="93"/>
      <c r="J19" s="1"/>
    </row>
    <row r="20" spans="1:10" ht="14.25" customHeight="1">
      <c r="A20" s="250">
        <v>719113</v>
      </c>
      <c r="B20" s="18"/>
      <c r="C20" s="28" t="s">
        <v>12</v>
      </c>
      <c r="D20" s="68">
        <v>16000</v>
      </c>
      <c r="E20" s="68">
        <f>F20-D20</f>
        <v>-6000</v>
      </c>
      <c r="F20" s="68">
        <v>10000</v>
      </c>
      <c r="G20" s="321">
        <f t="shared" si="1"/>
        <v>62.5</v>
      </c>
      <c r="H20" s="373">
        <f t="shared" si="0"/>
        <v>0.07265329845975008</v>
      </c>
      <c r="I20" s="93"/>
      <c r="J20" s="1"/>
    </row>
    <row r="21" spans="1:11" ht="15" customHeight="1">
      <c r="A21" s="153">
        <v>720000</v>
      </c>
      <c r="B21" s="24"/>
      <c r="C21" s="55" t="s">
        <v>257</v>
      </c>
      <c r="D21" s="67">
        <f>D22+D29+D60+D62</f>
        <v>2535800</v>
      </c>
      <c r="E21" s="67">
        <f>E22+E29+E60+E62</f>
        <v>46500</v>
      </c>
      <c r="F21" s="67">
        <f>F22+F29+F60+F62</f>
        <v>2582300</v>
      </c>
      <c r="G21" s="371">
        <f t="shared" si="1"/>
        <v>101.83374083129584</v>
      </c>
      <c r="H21" s="372">
        <f t="shared" si="0"/>
        <v>18.76126126126126</v>
      </c>
      <c r="I21" s="93"/>
      <c r="J21" s="1"/>
      <c r="K21" s="1"/>
    </row>
    <row r="22" spans="1:10" ht="14.25" customHeight="1">
      <c r="A22" s="153">
        <v>721000</v>
      </c>
      <c r="B22" s="24"/>
      <c r="C22" s="82" t="s">
        <v>180</v>
      </c>
      <c r="D22" s="90">
        <f>D23+D27</f>
        <v>260500</v>
      </c>
      <c r="E22" s="90">
        <f>E23+E27</f>
        <v>-129000</v>
      </c>
      <c r="F22" s="90">
        <f>F23+F27</f>
        <v>131500</v>
      </c>
      <c r="G22" s="369">
        <f t="shared" si="1"/>
        <v>50.479846449136275</v>
      </c>
      <c r="H22" s="370">
        <f t="shared" si="0"/>
        <v>0.9553908747457134</v>
      </c>
      <c r="I22" s="93"/>
      <c r="J22" s="1"/>
    </row>
    <row r="23" spans="1:12" ht="14.25" customHeight="1">
      <c r="A23" s="249">
        <v>721200</v>
      </c>
      <c r="B23" s="32"/>
      <c r="C23" s="27" t="s">
        <v>181</v>
      </c>
      <c r="D23" s="70">
        <f>SUM(D24:D26)</f>
        <v>244500</v>
      </c>
      <c r="E23" s="70">
        <f>SUM(E24:E26)</f>
        <v>-119500</v>
      </c>
      <c r="F23" s="70">
        <f>SUM(F24:F26)</f>
        <v>125000</v>
      </c>
      <c r="G23" s="367">
        <f t="shared" si="1"/>
        <v>51.124744376278116</v>
      </c>
      <c r="H23" s="368">
        <f t="shared" si="0"/>
        <v>0.908166230746876</v>
      </c>
      <c r="I23" s="93"/>
      <c r="J23" s="1"/>
      <c r="L23" s="1"/>
    </row>
    <row r="24" spans="1:12" ht="14.25" customHeight="1">
      <c r="A24" s="250">
        <v>721222</v>
      </c>
      <c r="B24" s="18"/>
      <c r="C24" s="28" t="s">
        <v>277</v>
      </c>
      <c r="D24" s="69">
        <v>20000</v>
      </c>
      <c r="E24" s="69">
        <f>F24-D24</f>
        <v>-5000</v>
      </c>
      <c r="F24" s="69">
        <v>15000</v>
      </c>
      <c r="G24" s="321">
        <f t="shared" si="1"/>
        <v>75</v>
      </c>
      <c r="H24" s="373">
        <f t="shared" si="0"/>
        <v>0.1089799476896251</v>
      </c>
      <c r="I24" s="93"/>
      <c r="J24" s="1"/>
      <c r="K24">
        <v>12023</v>
      </c>
      <c r="L24" s="1"/>
    </row>
    <row r="25" spans="1:12" ht="14.25" customHeight="1">
      <c r="A25" s="250">
        <v>721223</v>
      </c>
      <c r="B25" s="18"/>
      <c r="C25" s="30" t="s">
        <v>13</v>
      </c>
      <c r="D25" s="69">
        <v>210000</v>
      </c>
      <c r="E25" s="69">
        <f>F25-D25</f>
        <v>-127000</v>
      </c>
      <c r="F25" s="69">
        <v>83000</v>
      </c>
      <c r="G25" s="321">
        <f t="shared" si="1"/>
        <v>39.523809523809526</v>
      </c>
      <c r="H25" s="373">
        <f t="shared" si="0"/>
        <v>0.6030223772159257</v>
      </c>
      <c r="I25" s="93"/>
      <c r="J25" s="1"/>
      <c r="K25">
        <v>50000</v>
      </c>
      <c r="L25" s="1"/>
    </row>
    <row r="26" spans="1:13" ht="14.25" customHeight="1">
      <c r="A26" s="250">
        <v>721224</v>
      </c>
      <c r="B26" s="18"/>
      <c r="C26" s="30" t="s">
        <v>258</v>
      </c>
      <c r="D26" s="69">
        <v>14500</v>
      </c>
      <c r="E26" s="69">
        <f>F26-D26</f>
        <v>12500</v>
      </c>
      <c r="F26" s="69">
        <v>27000</v>
      </c>
      <c r="G26" s="321">
        <f t="shared" si="1"/>
        <v>186.20689655172413</v>
      </c>
      <c r="H26" s="373">
        <f t="shared" si="0"/>
        <v>0.1961639058413252</v>
      </c>
      <c r="I26" s="93"/>
      <c r="J26" s="1"/>
      <c r="L26" s="1"/>
      <c r="M26" s="1"/>
    </row>
    <row r="27" spans="1:12" ht="14.25" customHeight="1">
      <c r="A27" s="253">
        <v>721300</v>
      </c>
      <c r="B27" s="254"/>
      <c r="C27" s="83" t="s">
        <v>182</v>
      </c>
      <c r="D27" s="70">
        <f>SUM(D28:D28)</f>
        <v>16000</v>
      </c>
      <c r="E27" s="70">
        <f>SUM(E28:E28)</f>
        <v>-9500</v>
      </c>
      <c r="F27" s="70">
        <f>SUM(F28:F28)</f>
        <v>6500</v>
      </c>
      <c r="G27" s="367">
        <f t="shared" si="1"/>
        <v>40.625</v>
      </c>
      <c r="H27" s="368">
        <f t="shared" si="0"/>
        <v>0.04722464399883755</v>
      </c>
      <c r="I27" s="93"/>
      <c r="J27" s="1"/>
      <c r="L27" s="1"/>
    </row>
    <row r="28" spans="1:12" ht="14.25" customHeight="1">
      <c r="A28" s="155">
        <v>721310</v>
      </c>
      <c r="B28" s="100"/>
      <c r="C28" s="84" t="s">
        <v>259</v>
      </c>
      <c r="D28" s="69">
        <v>16000</v>
      </c>
      <c r="E28" s="69">
        <f>F28-D28</f>
        <v>-9500</v>
      </c>
      <c r="F28" s="69">
        <v>6500</v>
      </c>
      <c r="G28" s="321">
        <f t="shared" si="1"/>
        <v>40.625</v>
      </c>
      <c r="H28" s="373">
        <f t="shared" si="0"/>
        <v>0.04722464399883755</v>
      </c>
      <c r="I28" s="93"/>
      <c r="J28" s="1"/>
      <c r="L28" s="1"/>
    </row>
    <row r="29" spans="1:13" ht="14.25" customHeight="1">
      <c r="A29" s="153">
        <v>722000</v>
      </c>
      <c r="B29" s="24"/>
      <c r="C29" s="27" t="s">
        <v>183</v>
      </c>
      <c r="D29" s="90">
        <f>D30+D33+D42+D52</f>
        <v>2230500</v>
      </c>
      <c r="E29" s="90">
        <f>E30+E33+E42+E52</f>
        <v>155300</v>
      </c>
      <c r="F29" s="90">
        <f>F30+F33+F42+F52</f>
        <v>2385800</v>
      </c>
      <c r="G29" s="369">
        <f t="shared" si="1"/>
        <v>106.96256444743331</v>
      </c>
      <c r="H29" s="370">
        <f t="shared" si="0"/>
        <v>17.333623946527172</v>
      </c>
      <c r="I29" s="93"/>
      <c r="J29" s="1"/>
      <c r="L29" s="1"/>
      <c r="M29" s="1"/>
    </row>
    <row r="30" spans="1:12" ht="14.25" customHeight="1">
      <c r="A30" s="253">
        <v>722100</v>
      </c>
      <c r="B30" s="254"/>
      <c r="C30" s="27" t="s">
        <v>14</v>
      </c>
      <c r="D30" s="54">
        <f>SUM(D32:D32)</f>
        <v>190000</v>
      </c>
      <c r="E30" s="54">
        <f>SUM(E31:E32)</f>
        <v>69000</v>
      </c>
      <c r="F30" s="54">
        <f>SUM(F31:F32)</f>
        <v>259000</v>
      </c>
      <c r="G30" s="367">
        <f t="shared" si="1"/>
        <v>136.31578947368422</v>
      </c>
      <c r="H30" s="368">
        <f t="shared" si="0"/>
        <v>1.881720430107527</v>
      </c>
      <c r="I30" s="93"/>
      <c r="J30" s="1"/>
      <c r="L30" s="1"/>
    </row>
    <row r="31" spans="1:12" ht="14.25" customHeight="1">
      <c r="A31" s="250">
        <v>722118</v>
      </c>
      <c r="B31" s="254"/>
      <c r="C31" s="28" t="s">
        <v>455</v>
      </c>
      <c r="D31" s="68">
        <v>0</v>
      </c>
      <c r="E31" s="68">
        <f>F31-D31</f>
        <v>9000</v>
      </c>
      <c r="F31" s="68">
        <v>9000</v>
      </c>
      <c r="G31" s="321" t="e">
        <f t="shared" si="1"/>
        <v>#DIV/0!</v>
      </c>
      <c r="H31" s="373">
        <f t="shared" si="0"/>
        <v>0.06538796861377506</v>
      </c>
      <c r="I31" s="93"/>
      <c r="J31" s="1"/>
      <c r="L31" s="1"/>
    </row>
    <row r="32" spans="1:12" ht="14.25" customHeight="1">
      <c r="A32" s="250">
        <v>722121</v>
      </c>
      <c r="B32" s="18"/>
      <c r="C32" s="28" t="s">
        <v>15</v>
      </c>
      <c r="D32" s="68">
        <v>190000</v>
      </c>
      <c r="E32" s="68">
        <f>F32-D32</f>
        <v>60000</v>
      </c>
      <c r="F32" s="68">
        <v>250000</v>
      </c>
      <c r="G32" s="321">
        <f t="shared" si="1"/>
        <v>131.57894736842107</v>
      </c>
      <c r="H32" s="373">
        <f t="shared" si="0"/>
        <v>1.816332461493752</v>
      </c>
      <c r="I32" s="93"/>
      <c r="J32" s="1"/>
      <c r="K32">
        <v>200000</v>
      </c>
      <c r="L32" s="1"/>
    </row>
    <row r="33" spans="1:13" ht="14.25" customHeight="1">
      <c r="A33" s="249">
        <v>722300</v>
      </c>
      <c r="B33" s="32"/>
      <c r="C33" s="27" t="s">
        <v>16</v>
      </c>
      <c r="D33" s="54">
        <f>SUM(D34:D41)</f>
        <v>614500</v>
      </c>
      <c r="E33" s="54">
        <f>SUM(E34:E41)</f>
        <v>-13100</v>
      </c>
      <c r="F33" s="54">
        <f>SUM(F34:F41)</f>
        <v>601400</v>
      </c>
      <c r="G33" s="367">
        <f t="shared" si="1"/>
        <v>97.86818551668023</v>
      </c>
      <c r="H33" s="368">
        <f t="shared" si="0"/>
        <v>4.36936936936937</v>
      </c>
      <c r="I33" s="93"/>
      <c r="J33" s="1"/>
      <c r="L33" s="1"/>
      <c r="M33" s="1"/>
    </row>
    <row r="34" spans="1:12" ht="14.25" customHeight="1">
      <c r="A34" s="250">
        <v>722312</v>
      </c>
      <c r="B34" s="18"/>
      <c r="C34" s="28" t="s">
        <v>356</v>
      </c>
      <c r="D34" s="68">
        <v>380000</v>
      </c>
      <c r="E34" s="68">
        <f>F34-D34</f>
        <v>20000</v>
      </c>
      <c r="F34" s="68">
        <v>400000</v>
      </c>
      <c r="G34" s="321">
        <f t="shared" si="1"/>
        <v>105.26315789473684</v>
      </c>
      <c r="H34" s="373">
        <f t="shared" si="0"/>
        <v>2.906131938390003</v>
      </c>
      <c r="I34" s="93"/>
      <c r="J34" s="1"/>
      <c r="L34" s="1"/>
    </row>
    <row r="35" spans="1:12" ht="24" customHeight="1">
      <c r="A35" s="250">
        <v>722314</v>
      </c>
      <c r="B35" s="18"/>
      <c r="C35" s="28" t="s">
        <v>357</v>
      </c>
      <c r="D35" s="68">
        <v>14000</v>
      </c>
      <c r="E35" s="68">
        <f aca="true" t="shared" si="2" ref="E35:E41">F35-D35</f>
        <v>8000</v>
      </c>
      <c r="F35" s="68">
        <v>22000</v>
      </c>
      <c r="G35" s="321">
        <f t="shared" si="1"/>
        <v>157.14285714285714</v>
      </c>
      <c r="H35" s="373">
        <f t="shared" si="0"/>
        <v>0.15983725661145018</v>
      </c>
      <c r="I35" s="93"/>
      <c r="J35" s="1"/>
      <c r="K35">
        <v>20000</v>
      </c>
      <c r="L35" s="1"/>
    </row>
    <row r="36" spans="1:12" ht="23.25" customHeight="1">
      <c r="A36" s="250">
        <v>722316</v>
      </c>
      <c r="B36" s="18"/>
      <c r="C36" s="28" t="s">
        <v>17</v>
      </c>
      <c r="D36" s="68">
        <v>4000</v>
      </c>
      <c r="E36" s="68">
        <f t="shared" si="2"/>
        <v>0</v>
      </c>
      <c r="F36" s="68">
        <v>4000</v>
      </c>
      <c r="G36" s="321">
        <f t="shared" si="1"/>
        <v>100</v>
      </c>
      <c r="H36" s="373">
        <f t="shared" si="0"/>
        <v>0.029061319383900032</v>
      </c>
      <c r="I36" s="93"/>
      <c r="J36" s="1"/>
      <c r="L36" s="1"/>
    </row>
    <row r="37" spans="1:12" ht="23.25" customHeight="1">
      <c r="A37" s="250">
        <v>722317</v>
      </c>
      <c r="B37" s="18"/>
      <c r="C37" s="28" t="s">
        <v>358</v>
      </c>
      <c r="D37" s="68">
        <v>1500</v>
      </c>
      <c r="E37" s="68">
        <f t="shared" si="2"/>
        <v>-1100</v>
      </c>
      <c r="F37" s="68">
        <v>400</v>
      </c>
      <c r="G37" s="321">
        <f t="shared" si="1"/>
        <v>26.666666666666668</v>
      </c>
      <c r="H37" s="373">
        <f aca="true" t="shared" si="3" ref="H37:H68">F37/$F$90*100</f>
        <v>0.002906131938390003</v>
      </c>
      <c r="I37" s="93"/>
      <c r="J37" s="1"/>
      <c r="K37">
        <v>280</v>
      </c>
      <c r="L37" s="1"/>
    </row>
    <row r="38" spans="1:13" ht="14.25" customHeight="1">
      <c r="A38" s="250">
        <v>722318</v>
      </c>
      <c r="B38" s="18"/>
      <c r="C38" s="28" t="s">
        <v>18</v>
      </c>
      <c r="D38" s="68">
        <v>3000</v>
      </c>
      <c r="E38" s="68">
        <f t="shared" si="2"/>
        <v>3500</v>
      </c>
      <c r="F38" s="68">
        <v>6500</v>
      </c>
      <c r="G38" s="321">
        <f t="shared" si="1"/>
        <v>216.66666666666666</v>
      </c>
      <c r="H38" s="373">
        <f t="shared" si="3"/>
        <v>0.04722464399883755</v>
      </c>
      <c r="I38" s="93"/>
      <c r="J38" s="1"/>
      <c r="K38">
        <v>6240</v>
      </c>
      <c r="L38" s="1"/>
      <c r="M38" s="1"/>
    </row>
    <row r="39" spans="1:12" ht="44.25" customHeight="1">
      <c r="A39" s="250">
        <v>722319</v>
      </c>
      <c r="B39" s="18"/>
      <c r="C39" s="28" t="s">
        <v>269</v>
      </c>
      <c r="D39" s="68">
        <v>180000</v>
      </c>
      <c r="E39" s="68">
        <f t="shared" si="2"/>
        <v>-45000</v>
      </c>
      <c r="F39" s="68">
        <v>135000</v>
      </c>
      <c r="G39" s="321">
        <f t="shared" si="1"/>
        <v>75</v>
      </c>
      <c r="H39" s="373">
        <f t="shared" si="3"/>
        <v>0.9808195292066261</v>
      </c>
      <c r="I39" s="93"/>
      <c r="J39" s="1"/>
      <c r="K39">
        <v>106000</v>
      </c>
      <c r="L39" s="1"/>
    </row>
    <row r="40" spans="1:12" ht="24" customHeight="1">
      <c r="A40" s="250">
        <v>722391</v>
      </c>
      <c r="B40" s="18"/>
      <c r="C40" s="28" t="s">
        <v>19</v>
      </c>
      <c r="D40" s="68">
        <v>14000</v>
      </c>
      <c r="E40" s="68">
        <f t="shared" si="2"/>
        <v>-1500</v>
      </c>
      <c r="F40" s="68">
        <v>12500</v>
      </c>
      <c r="G40" s="321">
        <f t="shared" si="1"/>
        <v>89.28571428571429</v>
      </c>
      <c r="H40" s="373">
        <f t="shared" si="3"/>
        <v>0.09081662307468759</v>
      </c>
      <c r="I40" s="93"/>
      <c r="J40" s="1"/>
      <c r="K40">
        <v>13000</v>
      </c>
      <c r="L40" s="1"/>
    </row>
    <row r="41" spans="1:13" ht="14.25" customHeight="1">
      <c r="A41" s="250">
        <v>722396</v>
      </c>
      <c r="B41" s="18"/>
      <c r="C41" s="28" t="s">
        <v>184</v>
      </c>
      <c r="D41" s="68">
        <v>18000</v>
      </c>
      <c r="E41" s="68">
        <f t="shared" si="2"/>
        <v>3000</v>
      </c>
      <c r="F41" s="68">
        <v>21000</v>
      </c>
      <c r="G41" s="321">
        <f t="shared" si="1"/>
        <v>116.66666666666667</v>
      </c>
      <c r="H41" s="373">
        <f t="shared" si="3"/>
        <v>0.15257192676547515</v>
      </c>
      <c r="I41" s="93"/>
      <c r="J41" s="1"/>
      <c r="K41">
        <v>20000</v>
      </c>
      <c r="L41" s="1"/>
      <c r="M41" s="1"/>
    </row>
    <row r="42" spans="1:12" ht="14.25" customHeight="1">
      <c r="A42" s="249">
        <v>722400</v>
      </c>
      <c r="B42" s="32"/>
      <c r="C42" s="37" t="s">
        <v>20</v>
      </c>
      <c r="D42" s="156">
        <f>SUM(D43:D51)</f>
        <v>1120000</v>
      </c>
      <c r="E42" s="156">
        <f>SUM(E43:E51)</f>
        <v>122400</v>
      </c>
      <c r="F42" s="156">
        <f>SUM(F43:F51)</f>
        <v>1242400</v>
      </c>
      <c r="G42" s="367">
        <f t="shared" si="1"/>
        <v>110.92857142857142</v>
      </c>
      <c r="H42" s="368">
        <f t="shared" si="3"/>
        <v>9.02644580063935</v>
      </c>
      <c r="I42" s="93"/>
      <c r="J42" s="1"/>
      <c r="L42" s="1"/>
    </row>
    <row r="43" spans="1:12" ht="14.25" customHeight="1">
      <c r="A43" s="250">
        <v>722411</v>
      </c>
      <c r="B43" s="18"/>
      <c r="C43" s="28" t="s">
        <v>354</v>
      </c>
      <c r="D43" s="69">
        <v>220000</v>
      </c>
      <c r="E43" s="69">
        <f>F43-D43</f>
        <v>-142000</v>
      </c>
      <c r="F43" s="69">
        <v>78000</v>
      </c>
      <c r="G43" s="321">
        <f t="shared" si="1"/>
        <v>35.45454545454545</v>
      </c>
      <c r="H43" s="373">
        <f t="shared" si="3"/>
        <v>0.5666957279860506</v>
      </c>
      <c r="I43" s="93"/>
      <c r="J43" s="1"/>
      <c r="K43">
        <v>66000</v>
      </c>
      <c r="L43" s="1"/>
    </row>
    <row r="44" spans="1:12" ht="14.25" customHeight="1">
      <c r="A44" s="250">
        <v>722424</v>
      </c>
      <c r="B44" s="18"/>
      <c r="C44" s="28" t="s">
        <v>260</v>
      </c>
      <c r="D44" s="68">
        <v>180000</v>
      </c>
      <c r="E44" s="68">
        <f>F44-D44</f>
        <v>-90000</v>
      </c>
      <c r="F44" s="68">
        <v>90000</v>
      </c>
      <c r="G44" s="321">
        <f t="shared" si="1"/>
        <v>50</v>
      </c>
      <c r="H44" s="373">
        <f t="shared" si="3"/>
        <v>0.6538796861377506</v>
      </c>
      <c r="I44" s="93"/>
      <c r="J44" s="1"/>
      <c r="L44" s="1"/>
    </row>
    <row r="45" spans="1:12" ht="14.25" customHeight="1">
      <c r="A45" s="250">
        <v>722425</v>
      </c>
      <c r="B45" s="18"/>
      <c r="C45" s="28" t="s">
        <v>261</v>
      </c>
      <c r="D45" s="69">
        <v>70000</v>
      </c>
      <c r="E45" s="68">
        <f aca="true" t="shared" si="4" ref="E45:E51">F45-D45</f>
        <v>-5000</v>
      </c>
      <c r="F45" s="69">
        <v>65000</v>
      </c>
      <c r="G45" s="321">
        <f t="shared" si="1"/>
        <v>92.85714285714286</v>
      </c>
      <c r="H45" s="373">
        <f t="shared" si="3"/>
        <v>0.47224643998837545</v>
      </c>
      <c r="I45" s="93"/>
      <c r="J45" s="1"/>
      <c r="L45" s="1"/>
    </row>
    <row r="46" spans="1:12" ht="34.5" customHeight="1">
      <c r="A46" s="250">
        <v>722435</v>
      </c>
      <c r="B46" s="18"/>
      <c r="C46" s="28" t="s">
        <v>355</v>
      </c>
      <c r="D46" s="69">
        <v>180000</v>
      </c>
      <c r="E46" s="68">
        <f t="shared" si="4"/>
        <v>258000</v>
      </c>
      <c r="F46" s="69">
        <v>438000</v>
      </c>
      <c r="G46" s="321">
        <f t="shared" si="1"/>
        <v>243.33333333333331</v>
      </c>
      <c r="H46" s="373">
        <f t="shared" si="3"/>
        <v>3.182214472537053</v>
      </c>
      <c r="I46" s="93"/>
      <c r="J46" s="1"/>
      <c r="L46" s="1"/>
    </row>
    <row r="47" spans="1:13" ht="24" customHeight="1">
      <c r="A47" s="250">
        <v>722437</v>
      </c>
      <c r="B47" s="18"/>
      <c r="C47" s="28" t="s">
        <v>281</v>
      </c>
      <c r="D47" s="69">
        <v>20000</v>
      </c>
      <c r="E47" s="68">
        <f t="shared" si="4"/>
        <v>10000</v>
      </c>
      <c r="F47" s="69">
        <v>30000</v>
      </c>
      <c r="G47" s="321">
        <f t="shared" si="1"/>
        <v>150</v>
      </c>
      <c r="H47" s="373">
        <f t="shared" si="3"/>
        <v>0.2179598953792502</v>
      </c>
      <c r="I47" s="93"/>
      <c r="J47" s="1"/>
      <c r="L47" s="1"/>
      <c r="M47" s="1"/>
    </row>
    <row r="48" spans="1:12" ht="24" customHeight="1">
      <c r="A48" s="251">
        <v>722440</v>
      </c>
      <c r="B48" s="38"/>
      <c r="C48" s="45" t="s">
        <v>283</v>
      </c>
      <c r="D48" s="69">
        <v>130000</v>
      </c>
      <c r="E48" s="68">
        <f t="shared" si="4"/>
        <v>-15000</v>
      </c>
      <c r="F48" s="69">
        <v>115000</v>
      </c>
      <c r="G48" s="321">
        <f t="shared" si="1"/>
        <v>88.46153846153845</v>
      </c>
      <c r="H48" s="373">
        <f t="shared" si="3"/>
        <v>0.8355129322871259</v>
      </c>
      <c r="I48" s="93"/>
      <c r="J48" s="1"/>
      <c r="L48" s="1"/>
    </row>
    <row r="49" spans="1:12" ht="23.25" customHeight="1">
      <c r="A49" s="250">
        <v>722461</v>
      </c>
      <c r="B49" s="18"/>
      <c r="C49" s="28" t="s">
        <v>63</v>
      </c>
      <c r="D49" s="69">
        <v>170000</v>
      </c>
      <c r="E49" s="68">
        <f t="shared" si="4"/>
        <v>85000</v>
      </c>
      <c r="F49" s="69">
        <v>255000</v>
      </c>
      <c r="G49" s="321">
        <f t="shared" si="1"/>
        <v>150</v>
      </c>
      <c r="H49" s="373">
        <f t="shared" si="3"/>
        <v>1.8526591107236268</v>
      </c>
      <c r="I49" s="93"/>
      <c r="J49" s="1"/>
      <c r="K49">
        <v>230000</v>
      </c>
      <c r="L49" s="1"/>
    </row>
    <row r="50" spans="1:12" ht="14.25" customHeight="1">
      <c r="A50" s="250">
        <v>722467</v>
      </c>
      <c r="B50" s="18"/>
      <c r="C50" s="28" t="s">
        <v>21</v>
      </c>
      <c r="D50" s="68">
        <v>150000</v>
      </c>
      <c r="E50" s="68">
        <f t="shared" si="4"/>
        <v>20000</v>
      </c>
      <c r="F50" s="68">
        <v>170000</v>
      </c>
      <c r="G50" s="321">
        <f t="shared" si="1"/>
        <v>113.33333333333333</v>
      </c>
      <c r="H50" s="373">
        <f t="shared" si="3"/>
        <v>1.2351060738157513</v>
      </c>
      <c r="I50" s="93"/>
      <c r="J50" s="1"/>
      <c r="L50" s="1"/>
    </row>
    <row r="51" spans="1:12" ht="23.25" customHeight="1">
      <c r="A51" s="250">
        <v>722491</v>
      </c>
      <c r="B51" s="18"/>
      <c r="C51" s="28" t="s">
        <v>353</v>
      </c>
      <c r="D51" s="68">
        <v>0</v>
      </c>
      <c r="E51" s="68">
        <f t="shared" si="4"/>
        <v>1400</v>
      </c>
      <c r="F51" s="68">
        <v>1400</v>
      </c>
      <c r="G51" s="321" t="e">
        <f t="shared" si="1"/>
        <v>#DIV/0!</v>
      </c>
      <c r="H51" s="373">
        <f t="shared" si="3"/>
        <v>0.01017146178436501</v>
      </c>
      <c r="I51" s="93"/>
      <c r="J51" s="1"/>
      <c r="L51" s="1"/>
    </row>
    <row r="52" spans="1:12" ht="14.25" customHeight="1">
      <c r="A52" s="255">
        <v>722500</v>
      </c>
      <c r="B52" s="85"/>
      <c r="C52" s="27" t="s">
        <v>22</v>
      </c>
      <c r="D52" s="156">
        <f>SUM(D53:D59)</f>
        <v>306000</v>
      </c>
      <c r="E52" s="156">
        <f>SUM(E53:E59)</f>
        <v>-23000</v>
      </c>
      <c r="F52" s="156">
        <f>SUM(F53:F59)</f>
        <v>283000</v>
      </c>
      <c r="G52" s="367">
        <f t="shared" si="1"/>
        <v>92.48366013071896</v>
      </c>
      <c r="H52" s="368">
        <f t="shared" si="3"/>
        <v>2.056088346410927</v>
      </c>
      <c r="I52" s="93"/>
      <c r="J52" s="1"/>
      <c r="L52" s="1"/>
    </row>
    <row r="53" spans="1:12" ht="35.25" customHeight="1">
      <c r="A53" s="250">
        <v>722521</v>
      </c>
      <c r="B53" s="18"/>
      <c r="C53" s="28" t="s">
        <v>288</v>
      </c>
      <c r="D53" s="68">
        <v>16000</v>
      </c>
      <c r="E53" s="68">
        <f>F53-D53</f>
        <v>5000</v>
      </c>
      <c r="F53" s="68">
        <v>21000</v>
      </c>
      <c r="G53" s="321">
        <f t="shared" si="1"/>
        <v>131.25</v>
      </c>
      <c r="H53" s="373">
        <f t="shared" si="3"/>
        <v>0.15257192676547515</v>
      </c>
      <c r="I53" s="93"/>
      <c r="J53" s="1"/>
      <c r="K53" s="1">
        <v>18000</v>
      </c>
      <c r="L53" s="1"/>
    </row>
    <row r="54" spans="1:12" ht="14.25" customHeight="1">
      <c r="A54" s="250">
        <v>722591</v>
      </c>
      <c r="B54" s="18"/>
      <c r="C54" s="30" t="s">
        <v>400</v>
      </c>
      <c r="D54" s="101">
        <v>25000</v>
      </c>
      <c r="E54" s="68">
        <f aca="true" t="shared" si="5" ref="E54:E59">F54-D54</f>
        <v>-5000</v>
      </c>
      <c r="F54" s="101">
        <v>20000</v>
      </c>
      <c r="G54" s="321">
        <f t="shared" si="1"/>
        <v>80</v>
      </c>
      <c r="H54" s="373">
        <f t="shared" si="3"/>
        <v>0.14530659691950015</v>
      </c>
      <c r="I54" s="93"/>
      <c r="J54" s="1"/>
      <c r="K54" s="1">
        <v>18000</v>
      </c>
      <c r="L54" s="1"/>
    </row>
    <row r="55" spans="1:13" ht="14.25" customHeight="1">
      <c r="A55" s="250">
        <v>722591</v>
      </c>
      <c r="B55" s="18"/>
      <c r="C55" s="30" t="s">
        <v>296</v>
      </c>
      <c r="D55" s="101">
        <v>12500</v>
      </c>
      <c r="E55" s="68">
        <f t="shared" si="5"/>
        <v>0</v>
      </c>
      <c r="F55" s="101">
        <v>12500</v>
      </c>
      <c r="G55" s="321">
        <f t="shared" si="1"/>
        <v>100</v>
      </c>
      <c r="H55" s="373">
        <f t="shared" si="3"/>
        <v>0.09081662307468759</v>
      </c>
      <c r="I55" s="93"/>
      <c r="J55" s="1"/>
      <c r="K55" s="1"/>
      <c r="L55" s="1"/>
      <c r="M55" s="1"/>
    </row>
    <row r="56" spans="1:12" ht="14.25" customHeight="1">
      <c r="A56" s="250">
        <v>722591</v>
      </c>
      <c r="B56" s="18"/>
      <c r="C56" s="28" t="s">
        <v>287</v>
      </c>
      <c r="D56" s="101">
        <v>28800</v>
      </c>
      <c r="E56" s="68">
        <f t="shared" si="5"/>
        <v>-3800</v>
      </c>
      <c r="F56" s="101">
        <v>25000</v>
      </c>
      <c r="G56" s="321">
        <f t="shared" si="1"/>
        <v>86.80555555555556</v>
      </c>
      <c r="H56" s="373">
        <f t="shared" si="3"/>
        <v>0.18163324614937518</v>
      </c>
      <c r="I56" s="93"/>
      <c r="J56" s="1"/>
      <c r="K56" s="1"/>
      <c r="L56" s="1"/>
    </row>
    <row r="57" spans="1:12" ht="14.25" customHeight="1">
      <c r="A57" s="250">
        <v>722591</v>
      </c>
      <c r="B57" s="18"/>
      <c r="C57" s="30" t="s">
        <v>25</v>
      </c>
      <c r="D57" s="101">
        <v>5000</v>
      </c>
      <c r="E57" s="68">
        <f t="shared" si="5"/>
        <v>-1500</v>
      </c>
      <c r="F57" s="101">
        <v>3500</v>
      </c>
      <c r="G57" s="321">
        <f t="shared" si="1"/>
        <v>70</v>
      </c>
      <c r="H57" s="373">
        <f t="shared" si="3"/>
        <v>0.025428654460912525</v>
      </c>
      <c r="I57" s="93"/>
      <c r="J57" s="1"/>
      <c r="K57" s="1"/>
      <c r="L57" s="1"/>
    </row>
    <row r="58" spans="1:12" ht="14.25" customHeight="1">
      <c r="A58" s="250">
        <v>722591</v>
      </c>
      <c r="B58" s="18"/>
      <c r="C58" s="30" t="s">
        <v>399</v>
      </c>
      <c r="D58" s="101">
        <v>218000</v>
      </c>
      <c r="E58" s="68">
        <f t="shared" si="5"/>
        <v>-18000</v>
      </c>
      <c r="F58" s="101">
        <v>200000</v>
      </c>
      <c r="G58" s="321">
        <f t="shared" si="1"/>
        <v>91.74311926605505</v>
      </c>
      <c r="H58" s="373">
        <f t="shared" si="3"/>
        <v>1.4530659691950014</v>
      </c>
      <c r="I58" s="93"/>
      <c r="J58" s="1"/>
      <c r="K58" s="1"/>
      <c r="L58" s="1"/>
    </row>
    <row r="59" spans="1:12" ht="14.25" customHeight="1">
      <c r="A59" s="250">
        <v>722591</v>
      </c>
      <c r="B59" s="18"/>
      <c r="C59" s="28" t="s">
        <v>115</v>
      </c>
      <c r="D59" s="101">
        <v>700</v>
      </c>
      <c r="E59" s="68">
        <f t="shared" si="5"/>
        <v>300</v>
      </c>
      <c r="F59" s="101">
        <v>1000</v>
      </c>
      <c r="G59" s="321">
        <f t="shared" si="1"/>
        <v>142.85714285714286</v>
      </c>
      <c r="H59" s="373">
        <f t="shared" si="3"/>
        <v>0.007265329845975008</v>
      </c>
      <c r="I59" s="93"/>
      <c r="J59" s="1"/>
      <c r="K59" s="1"/>
      <c r="L59" s="1"/>
    </row>
    <row r="60" spans="1:12" ht="14.25" customHeight="1">
      <c r="A60" s="153">
        <v>723000</v>
      </c>
      <c r="B60" s="24"/>
      <c r="C60" s="56" t="s">
        <v>23</v>
      </c>
      <c r="D60" s="157">
        <f>D61</f>
        <v>11000</v>
      </c>
      <c r="E60" s="157">
        <f>E61</f>
        <v>2000</v>
      </c>
      <c r="F60" s="157">
        <f>F61</f>
        <v>13000</v>
      </c>
      <c r="G60" s="369">
        <f t="shared" si="1"/>
        <v>118.18181818181819</v>
      </c>
      <c r="H60" s="370">
        <f t="shared" si="3"/>
        <v>0.0944492879976751</v>
      </c>
      <c r="I60" s="93"/>
      <c r="J60" s="1"/>
      <c r="K60" s="1"/>
      <c r="L60" s="1"/>
    </row>
    <row r="61" spans="1:12" ht="25.5" customHeight="1">
      <c r="A61" s="250">
        <v>723121</v>
      </c>
      <c r="B61" s="18"/>
      <c r="C61" s="28" t="s">
        <v>262</v>
      </c>
      <c r="D61" s="68">
        <v>11000</v>
      </c>
      <c r="E61" s="68">
        <f>F61-D61</f>
        <v>2000</v>
      </c>
      <c r="F61" s="68">
        <v>13000</v>
      </c>
      <c r="G61" s="321">
        <f t="shared" si="1"/>
        <v>118.18181818181819</v>
      </c>
      <c r="H61" s="373">
        <f t="shared" si="3"/>
        <v>0.0944492879976751</v>
      </c>
      <c r="I61" s="93"/>
      <c r="J61" s="1"/>
      <c r="K61" s="1"/>
      <c r="L61" s="1"/>
    </row>
    <row r="62" spans="1:12" ht="12.75">
      <c r="A62" s="153">
        <v>729000</v>
      </c>
      <c r="B62" s="24"/>
      <c r="C62" s="27" t="s">
        <v>24</v>
      </c>
      <c r="D62" s="157">
        <f>SUM(D63:D63)</f>
        <v>33800</v>
      </c>
      <c r="E62" s="157">
        <f>SUM(E63:E63)</f>
        <v>18200</v>
      </c>
      <c r="F62" s="157">
        <f>SUM(F63:F63)</f>
        <v>52000</v>
      </c>
      <c r="G62" s="369">
        <f t="shared" si="1"/>
        <v>153.84615384615387</v>
      </c>
      <c r="H62" s="370">
        <f t="shared" si="3"/>
        <v>0.3777971519907004</v>
      </c>
      <c r="I62" s="93"/>
      <c r="J62" s="1"/>
      <c r="K62" s="1"/>
      <c r="L62" s="1"/>
    </row>
    <row r="63" spans="1:13" ht="25.5" customHeight="1">
      <c r="A63" s="250">
        <v>729124</v>
      </c>
      <c r="B63" s="18"/>
      <c r="C63" s="86" t="s">
        <v>443</v>
      </c>
      <c r="D63" s="69">
        <v>33800</v>
      </c>
      <c r="E63" s="69">
        <f>F63-D63</f>
        <v>18200</v>
      </c>
      <c r="F63" s="69">
        <v>52000</v>
      </c>
      <c r="G63" s="321">
        <f t="shared" si="1"/>
        <v>153.84615384615387</v>
      </c>
      <c r="H63" s="373">
        <f t="shared" si="3"/>
        <v>0.3777971519907004</v>
      </c>
      <c r="I63" s="310"/>
      <c r="J63" s="1"/>
      <c r="K63" s="1">
        <v>40000</v>
      </c>
      <c r="L63" s="1"/>
      <c r="M63" s="1"/>
    </row>
    <row r="64" spans="1:12" ht="15" customHeight="1">
      <c r="A64" s="256">
        <v>730000</v>
      </c>
      <c r="B64" s="257"/>
      <c r="C64" s="49" t="s">
        <v>263</v>
      </c>
      <c r="D64" s="67">
        <f aca="true" t="shared" si="6" ref="D64:F65">D65</f>
        <v>0</v>
      </c>
      <c r="E64" s="67">
        <f t="shared" si="6"/>
        <v>32832.5</v>
      </c>
      <c r="F64" s="67">
        <f t="shared" si="6"/>
        <v>32832.5</v>
      </c>
      <c r="G64" s="371" t="e">
        <f t="shared" si="1"/>
        <v>#DIV/0!</v>
      </c>
      <c r="H64" s="372">
        <f t="shared" si="3"/>
        <v>0.23853894216797444</v>
      </c>
      <c r="I64" s="353"/>
      <c r="J64" s="1"/>
      <c r="K64" s="1"/>
      <c r="L64" s="1"/>
    </row>
    <row r="65" spans="1:12" ht="14.25" customHeight="1">
      <c r="A65" s="258">
        <v>731200</v>
      </c>
      <c r="B65" s="91"/>
      <c r="C65" s="92" t="s">
        <v>199</v>
      </c>
      <c r="D65" s="90">
        <f t="shared" si="6"/>
        <v>0</v>
      </c>
      <c r="E65" s="90">
        <f t="shared" si="6"/>
        <v>32832.5</v>
      </c>
      <c r="F65" s="90">
        <f t="shared" si="6"/>
        <v>32832.5</v>
      </c>
      <c r="G65" s="369" t="e">
        <f t="shared" si="1"/>
        <v>#DIV/0!</v>
      </c>
      <c r="H65" s="370">
        <f t="shared" si="3"/>
        <v>0.23853894216797444</v>
      </c>
      <c r="I65" s="1"/>
      <c r="J65" s="1"/>
      <c r="K65" s="1"/>
      <c r="L65" s="1"/>
    </row>
    <row r="66" spans="1:12" ht="14.25" customHeight="1">
      <c r="A66" s="258">
        <v>731210</v>
      </c>
      <c r="B66" s="91"/>
      <c r="C66" s="92" t="s">
        <v>375</v>
      </c>
      <c r="D66" s="70">
        <f>SUM(D67)</f>
        <v>0</v>
      </c>
      <c r="E66" s="70">
        <f>SUM(E67:E71)</f>
        <v>32832.5</v>
      </c>
      <c r="F66" s="70">
        <f>SUM(F67:F71)</f>
        <v>32832.5</v>
      </c>
      <c r="G66" s="367" t="e">
        <f t="shared" si="1"/>
        <v>#DIV/0!</v>
      </c>
      <c r="H66" s="368">
        <f t="shared" si="3"/>
        <v>0.23853894216797444</v>
      </c>
      <c r="I66" s="1"/>
      <c r="J66" s="1"/>
      <c r="K66" s="1"/>
      <c r="L66" s="1"/>
    </row>
    <row r="67" spans="1:12" ht="36.75" customHeight="1">
      <c r="A67" s="260">
        <v>731200</v>
      </c>
      <c r="B67" s="62"/>
      <c r="C67" s="89" t="s">
        <v>457</v>
      </c>
      <c r="D67" s="101">
        <v>0</v>
      </c>
      <c r="E67" s="101">
        <f>F67-D67</f>
        <v>6000</v>
      </c>
      <c r="F67" s="101">
        <v>6000</v>
      </c>
      <c r="G67" s="321" t="e">
        <f t="shared" si="1"/>
        <v>#DIV/0!</v>
      </c>
      <c r="H67" s="373">
        <f t="shared" si="3"/>
        <v>0.043591979075850044</v>
      </c>
      <c r="I67" s="1"/>
      <c r="J67" s="1"/>
      <c r="K67" s="1"/>
      <c r="L67" s="1"/>
    </row>
    <row r="68" spans="1:12" ht="24" customHeight="1">
      <c r="A68" s="260">
        <v>731200</v>
      </c>
      <c r="B68" s="62"/>
      <c r="C68" s="89" t="s">
        <v>495</v>
      </c>
      <c r="D68" s="101">
        <v>0</v>
      </c>
      <c r="E68" s="101">
        <f>F68-D68</f>
        <v>1100</v>
      </c>
      <c r="F68" s="101">
        <v>1100</v>
      </c>
      <c r="G68" s="321" t="e">
        <f t="shared" si="1"/>
        <v>#DIV/0!</v>
      </c>
      <c r="H68" s="373">
        <f t="shared" si="3"/>
        <v>0.007991862830572507</v>
      </c>
      <c r="I68" s="1"/>
      <c r="J68" s="1"/>
      <c r="K68" s="1"/>
      <c r="L68" s="1"/>
    </row>
    <row r="69" spans="1:12" ht="36.75" customHeight="1">
      <c r="A69" s="260">
        <v>731200</v>
      </c>
      <c r="B69" s="62"/>
      <c r="C69" s="89" t="s">
        <v>523</v>
      </c>
      <c r="D69" s="101">
        <v>0</v>
      </c>
      <c r="E69" s="101">
        <f>F69-D69</f>
        <v>2232.5</v>
      </c>
      <c r="F69" s="101">
        <v>2232.5</v>
      </c>
      <c r="G69" s="321" t="e">
        <f t="shared" si="1"/>
        <v>#DIV/0!</v>
      </c>
      <c r="H69" s="373">
        <f aca="true" t="shared" si="7" ref="H69:H90">F69/$F$90*100</f>
        <v>0.016219848881139202</v>
      </c>
      <c r="I69" s="1"/>
      <c r="J69" s="1"/>
      <c r="K69" s="1"/>
      <c r="L69" s="1"/>
    </row>
    <row r="70" spans="1:12" ht="36.75" customHeight="1">
      <c r="A70" s="260">
        <v>731200</v>
      </c>
      <c r="B70" s="62"/>
      <c r="C70" s="89" t="s">
        <v>536</v>
      </c>
      <c r="D70" s="101">
        <v>0</v>
      </c>
      <c r="E70" s="101">
        <f>F70-D70</f>
        <v>2500</v>
      </c>
      <c r="F70" s="101">
        <v>2500</v>
      </c>
      <c r="G70" s="321" t="e">
        <f t="shared" si="1"/>
        <v>#DIV/0!</v>
      </c>
      <c r="H70" s="373">
        <f t="shared" si="7"/>
        <v>0.01816332461493752</v>
      </c>
      <c r="I70" s="1"/>
      <c r="J70" s="1"/>
      <c r="K70" s="1"/>
      <c r="L70" s="1"/>
    </row>
    <row r="71" spans="1:12" ht="36">
      <c r="A71" s="260">
        <v>731200</v>
      </c>
      <c r="B71" s="62"/>
      <c r="C71" s="89" t="s">
        <v>534</v>
      </c>
      <c r="D71" s="101">
        <v>0</v>
      </c>
      <c r="E71" s="101">
        <f>F71-D71</f>
        <v>21000</v>
      </c>
      <c r="F71" s="101">
        <v>21000</v>
      </c>
      <c r="G71" s="321" t="e">
        <f t="shared" si="1"/>
        <v>#DIV/0!</v>
      </c>
      <c r="H71" s="373">
        <f t="shared" si="7"/>
        <v>0.15257192676547515</v>
      </c>
      <c r="I71" s="1"/>
      <c r="J71" s="1"/>
      <c r="K71" s="1"/>
      <c r="L71" s="1"/>
    </row>
    <row r="72" spans="1:11" s="2" customFormat="1" ht="15" customHeight="1">
      <c r="A72" s="256">
        <v>780000</v>
      </c>
      <c r="B72" s="257"/>
      <c r="C72" s="87" t="s">
        <v>403</v>
      </c>
      <c r="D72" s="67">
        <f>D73</f>
        <v>920900</v>
      </c>
      <c r="E72" s="67">
        <f>E73</f>
        <v>273367.5</v>
      </c>
      <c r="F72" s="67">
        <f>F73</f>
        <v>1194267.5</v>
      </c>
      <c r="G72" s="371">
        <f aca="true" t="shared" si="8" ref="G72:G90">F72/D72*100</f>
        <v>129.68481919861006</v>
      </c>
      <c r="H72" s="372">
        <f t="shared" si="7"/>
        <v>8.676747311827956</v>
      </c>
      <c r="I72" s="1"/>
      <c r="J72" s="1"/>
      <c r="K72" s="426"/>
    </row>
    <row r="73" spans="1:11" s="2" customFormat="1" ht="24" customHeight="1">
      <c r="A73" s="252">
        <v>787000</v>
      </c>
      <c r="B73" s="77"/>
      <c r="C73" s="88" t="s">
        <v>418</v>
      </c>
      <c r="D73" s="90">
        <f>SUM(D74:D82)</f>
        <v>920900</v>
      </c>
      <c r="E73" s="90">
        <f>SUM(E74:E82)</f>
        <v>273367.5</v>
      </c>
      <c r="F73" s="90">
        <f>SUM(F74:F82)</f>
        <v>1194267.5</v>
      </c>
      <c r="G73" s="369">
        <f t="shared" si="8"/>
        <v>129.68481919861006</v>
      </c>
      <c r="H73" s="370">
        <f t="shared" si="7"/>
        <v>8.676747311827956</v>
      </c>
      <c r="I73" s="1"/>
      <c r="J73" s="1"/>
      <c r="K73" s="426"/>
    </row>
    <row r="74" spans="1:11" s="2" customFormat="1" ht="25.5" customHeight="1">
      <c r="A74" s="155">
        <v>787200</v>
      </c>
      <c r="B74" s="100"/>
      <c r="C74" s="89" t="s">
        <v>264</v>
      </c>
      <c r="D74" s="321">
        <v>840000</v>
      </c>
      <c r="E74" s="321">
        <f aca="true" t="shared" si="9" ref="E74:E82">F74-D74</f>
        <v>20000</v>
      </c>
      <c r="F74" s="321">
        <v>860000</v>
      </c>
      <c r="G74" s="321">
        <f t="shared" si="8"/>
        <v>102.38095238095238</v>
      </c>
      <c r="H74" s="373">
        <f t="shared" si="7"/>
        <v>6.248183667538506</v>
      </c>
      <c r="I74" s="1"/>
      <c r="J74" s="1"/>
      <c r="K74" s="426">
        <v>860000</v>
      </c>
    </row>
    <row r="75" spans="1:11" s="2" customFormat="1" ht="34.5" customHeight="1">
      <c r="A75" s="155">
        <v>787200</v>
      </c>
      <c r="B75" s="100"/>
      <c r="C75" s="89" t="s">
        <v>447</v>
      </c>
      <c r="D75" s="69">
        <v>76000</v>
      </c>
      <c r="E75" s="321">
        <f t="shared" si="9"/>
        <v>0</v>
      </c>
      <c r="F75" s="69">
        <v>76000</v>
      </c>
      <c r="G75" s="321">
        <f t="shared" si="8"/>
        <v>100</v>
      </c>
      <c r="H75" s="373">
        <f t="shared" si="7"/>
        <v>0.5521650682941005</v>
      </c>
      <c r="I75" s="1"/>
      <c r="J75" s="1"/>
      <c r="K75" s="426">
        <v>76000</v>
      </c>
    </row>
    <row r="76" spans="1:11" s="2" customFormat="1" ht="1.5" customHeight="1" hidden="1">
      <c r="A76" s="155">
        <v>787200</v>
      </c>
      <c r="B76" s="100"/>
      <c r="C76" s="89" t="s">
        <v>494</v>
      </c>
      <c r="D76" s="101">
        <v>0</v>
      </c>
      <c r="E76" s="321">
        <f t="shared" si="9"/>
        <v>0</v>
      </c>
      <c r="F76" s="101">
        <v>0</v>
      </c>
      <c r="G76" s="321" t="e">
        <f t="shared" si="8"/>
        <v>#DIV/0!</v>
      </c>
      <c r="H76" s="373">
        <f t="shared" si="7"/>
        <v>0</v>
      </c>
      <c r="I76" s="1"/>
      <c r="J76" s="1"/>
      <c r="K76" s="426"/>
    </row>
    <row r="77" spans="1:11" s="2" customFormat="1" ht="33.75" customHeight="1">
      <c r="A77" s="155">
        <v>787200</v>
      </c>
      <c r="B77" s="100"/>
      <c r="C77" s="89" t="s">
        <v>448</v>
      </c>
      <c r="D77" s="101">
        <v>4900</v>
      </c>
      <c r="E77" s="321">
        <f t="shared" si="9"/>
        <v>-1062.83</v>
      </c>
      <c r="F77" s="101">
        <v>3837.17</v>
      </c>
      <c r="G77" s="321">
        <f t="shared" si="8"/>
        <v>78.3095918367347</v>
      </c>
      <c r="H77" s="373">
        <f t="shared" si="7"/>
        <v>0.027878305725079922</v>
      </c>
      <c r="I77" s="1"/>
      <c r="J77" s="1"/>
      <c r="K77" s="426"/>
    </row>
    <row r="78" spans="1:11" s="2" customFormat="1" ht="24.75" customHeight="1">
      <c r="A78" s="155">
        <v>787200</v>
      </c>
      <c r="B78" s="100"/>
      <c r="C78" s="89" t="s">
        <v>530</v>
      </c>
      <c r="D78" s="101">
        <v>0</v>
      </c>
      <c r="E78" s="321">
        <f t="shared" si="9"/>
        <v>250000</v>
      </c>
      <c r="F78" s="101">
        <v>250000</v>
      </c>
      <c r="G78" s="321" t="e">
        <f t="shared" si="8"/>
        <v>#DIV/0!</v>
      </c>
      <c r="H78" s="373">
        <f t="shared" si="7"/>
        <v>1.816332461493752</v>
      </c>
      <c r="I78" s="1"/>
      <c r="J78" s="1"/>
      <c r="K78" s="426"/>
    </row>
    <row r="79" spans="1:11" s="2" customFormat="1" ht="24" customHeight="1">
      <c r="A79" s="155">
        <v>787200</v>
      </c>
      <c r="B79" s="100"/>
      <c r="C79" s="89" t="s">
        <v>504</v>
      </c>
      <c r="D79" s="101">
        <v>0</v>
      </c>
      <c r="E79" s="321">
        <f t="shared" si="9"/>
        <v>2530.33</v>
      </c>
      <c r="F79" s="101">
        <v>2530.33</v>
      </c>
      <c r="G79" s="321" t="e">
        <f t="shared" si="8"/>
        <v>#DIV/0!</v>
      </c>
      <c r="H79" s="373">
        <f t="shared" si="7"/>
        <v>0.01838368206916594</v>
      </c>
      <c r="I79" s="1"/>
      <c r="J79" s="1"/>
      <c r="K79" s="426"/>
    </row>
    <row r="80" spans="1:11" s="2" customFormat="1" ht="24" customHeight="1">
      <c r="A80" s="155">
        <v>787300</v>
      </c>
      <c r="B80" s="100"/>
      <c r="C80" s="89" t="s">
        <v>505</v>
      </c>
      <c r="D80" s="101">
        <v>0</v>
      </c>
      <c r="E80" s="321">
        <v>1000</v>
      </c>
      <c r="F80" s="101">
        <v>1000</v>
      </c>
      <c r="G80" s="321" t="e">
        <f t="shared" si="8"/>
        <v>#DIV/0!</v>
      </c>
      <c r="H80" s="373">
        <f t="shared" si="7"/>
        <v>0.007265329845975008</v>
      </c>
      <c r="I80" s="1"/>
      <c r="J80" s="1"/>
      <c r="K80" s="426"/>
    </row>
    <row r="81" spans="1:11" s="2" customFormat="1" ht="24" customHeight="1">
      <c r="A81" s="155">
        <v>787400</v>
      </c>
      <c r="B81" s="100"/>
      <c r="C81" s="89" t="s">
        <v>508</v>
      </c>
      <c r="D81" s="101">
        <v>0</v>
      </c>
      <c r="E81" s="321">
        <v>600</v>
      </c>
      <c r="F81" s="101">
        <v>600</v>
      </c>
      <c r="G81" s="321" t="e">
        <f t="shared" si="8"/>
        <v>#DIV/0!</v>
      </c>
      <c r="H81" s="373">
        <f t="shared" si="7"/>
        <v>0.004359197907585005</v>
      </c>
      <c r="I81" s="1"/>
      <c r="J81" s="1"/>
      <c r="K81" s="426"/>
    </row>
    <row r="82" spans="1:11" s="2" customFormat="1" ht="24" customHeight="1">
      <c r="A82" s="155">
        <v>787900</v>
      </c>
      <c r="B82" s="100"/>
      <c r="C82" s="89" t="s">
        <v>509</v>
      </c>
      <c r="D82" s="101">
        <v>0</v>
      </c>
      <c r="E82" s="321">
        <f t="shared" si="9"/>
        <v>300</v>
      </c>
      <c r="F82" s="101">
        <v>300</v>
      </c>
      <c r="G82" s="321" t="e">
        <f t="shared" si="8"/>
        <v>#DIV/0!</v>
      </c>
      <c r="H82" s="373">
        <f t="shared" si="7"/>
        <v>0.0021795989537925025</v>
      </c>
      <c r="I82" s="1"/>
      <c r="J82" s="1"/>
      <c r="K82" s="426"/>
    </row>
    <row r="83" spans="1:11" ht="15" customHeight="1">
      <c r="A83" s="153">
        <v>810000</v>
      </c>
      <c r="B83" s="24"/>
      <c r="C83" s="186" t="s">
        <v>325</v>
      </c>
      <c r="D83" s="183">
        <f>D84+D86+D88</f>
        <v>46000</v>
      </c>
      <c r="E83" s="183">
        <f>E84+E86+E88</f>
        <v>-26000</v>
      </c>
      <c r="F83" s="183">
        <f>F84+F86+F88</f>
        <v>20000</v>
      </c>
      <c r="G83" s="183">
        <f t="shared" si="8"/>
        <v>43.47826086956522</v>
      </c>
      <c r="H83" s="248">
        <f t="shared" si="7"/>
        <v>0.14530659691950015</v>
      </c>
      <c r="I83" s="1"/>
      <c r="J83" s="1"/>
      <c r="K83" s="1"/>
    </row>
    <row r="84" spans="1:11" ht="14.25" customHeight="1">
      <c r="A84" s="153">
        <v>811000</v>
      </c>
      <c r="B84" s="24"/>
      <c r="C84" s="56" t="s">
        <v>198</v>
      </c>
      <c r="D84" s="90">
        <f>SUM(D85:D85)</f>
        <v>0</v>
      </c>
      <c r="E84" s="90">
        <f>SUM(E85:E85)</f>
        <v>0</v>
      </c>
      <c r="F84" s="90">
        <f>SUM(F85:F85)</f>
        <v>0</v>
      </c>
      <c r="G84" s="369" t="e">
        <f t="shared" si="8"/>
        <v>#DIV/0!</v>
      </c>
      <c r="H84" s="370">
        <f t="shared" si="7"/>
        <v>0</v>
      </c>
      <c r="I84" s="1"/>
      <c r="J84" s="1"/>
      <c r="K84" s="1"/>
    </row>
    <row r="85" spans="1:11" ht="14.25" customHeight="1">
      <c r="A85" s="260">
        <v>811120</v>
      </c>
      <c r="B85" s="261" t="s">
        <v>28</v>
      </c>
      <c r="C85" s="89" t="s">
        <v>219</v>
      </c>
      <c r="D85" s="69">
        <v>0</v>
      </c>
      <c r="E85" s="69">
        <f>F85-D85</f>
        <v>0</v>
      </c>
      <c r="F85" s="69">
        <v>0</v>
      </c>
      <c r="G85" s="321" t="e">
        <f t="shared" si="8"/>
        <v>#DIV/0!</v>
      </c>
      <c r="H85" s="373">
        <f t="shared" si="7"/>
        <v>0</v>
      </c>
      <c r="I85" s="1"/>
      <c r="J85" s="1"/>
      <c r="K85" s="1"/>
    </row>
    <row r="86" spans="1:11" ht="14.25" customHeight="1">
      <c r="A86" s="153">
        <v>813000</v>
      </c>
      <c r="B86" s="24"/>
      <c r="C86" s="56" t="s">
        <v>185</v>
      </c>
      <c r="D86" s="90">
        <f>SUM(D87:D87)</f>
        <v>42000</v>
      </c>
      <c r="E86" s="90">
        <f>SUM(E87:E87)</f>
        <v>-27000</v>
      </c>
      <c r="F86" s="90">
        <f>SUM(F87:F87)</f>
        <v>15000</v>
      </c>
      <c r="G86" s="369">
        <f t="shared" si="8"/>
        <v>35.714285714285715</v>
      </c>
      <c r="H86" s="370">
        <f t="shared" si="7"/>
        <v>0.1089799476896251</v>
      </c>
      <c r="I86" s="1"/>
      <c r="J86" s="1"/>
      <c r="K86" s="1"/>
    </row>
    <row r="87" spans="1:11" ht="14.25" customHeight="1">
      <c r="A87" s="260">
        <v>813110</v>
      </c>
      <c r="B87" s="261" t="s">
        <v>28</v>
      </c>
      <c r="C87" s="89" t="s">
        <v>186</v>
      </c>
      <c r="D87" s="69">
        <v>42000</v>
      </c>
      <c r="E87" s="69">
        <f>F87-D87</f>
        <v>-27000</v>
      </c>
      <c r="F87" s="69">
        <v>15000</v>
      </c>
      <c r="G87" s="321">
        <f t="shared" si="8"/>
        <v>35.714285714285715</v>
      </c>
      <c r="H87" s="373">
        <f t="shared" si="7"/>
        <v>0.1089799476896251</v>
      </c>
      <c r="I87" s="1"/>
      <c r="J87" s="1"/>
      <c r="K87" s="1"/>
    </row>
    <row r="88" spans="1:11" ht="24" customHeight="1">
      <c r="A88" s="153">
        <v>816000</v>
      </c>
      <c r="B88" s="24"/>
      <c r="C88" s="56" t="s">
        <v>311</v>
      </c>
      <c r="D88" s="90">
        <f>SUM(D89)</f>
        <v>4000</v>
      </c>
      <c r="E88" s="90">
        <f>SUM(E89)</f>
        <v>1000</v>
      </c>
      <c r="F88" s="90">
        <f>SUM(F89)</f>
        <v>5000</v>
      </c>
      <c r="G88" s="369">
        <f t="shared" si="8"/>
        <v>125</v>
      </c>
      <c r="H88" s="370">
        <f t="shared" si="7"/>
        <v>0.03632664922987504</v>
      </c>
      <c r="I88" s="1"/>
      <c r="J88" s="1"/>
      <c r="K88" s="1"/>
    </row>
    <row r="89" spans="1:11" ht="15" customHeight="1">
      <c r="A89" s="155">
        <v>816150</v>
      </c>
      <c r="B89" s="261" t="s">
        <v>37</v>
      </c>
      <c r="C89" s="89" t="s">
        <v>191</v>
      </c>
      <c r="D89" s="69">
        <v>4000</v>
      </c>
      <c r="E89" s="69">
        <f>F89-D89</f>
        <v>1000</v>
      </c>
      <c r="F89" s="69">
        <v>5000</v>
      </c>
      <c r="G89" s="321">
        <f t="shared" si="8"/>
        <v>125</v>
      </c>
      <c r="H89" s="373">
        <f t="shared" si="7"/>
        <v>0.03632664922987504</v>
      </c>
      <c r="I89" s="1"/>
      <c r="J89" s="1"/>
      <c r="K89" s="1"/>
    </row>
    <row r="90" spans="1:11" ht="29.25" customHeight="1" thickBot="1">
      <c r="A90" s="262"/>
      <c r="B90" s="244"/>
      <c r="C90" s="210" t="s">
        <v>326</v>
      </c>
      <c r="D90" s="245">
        <f>D5+D83</f>
        <v>13602700</v>
      </c>
      <c r="E90" s="245">
        <f>E5+E83</f>
        <v>161300</v>
      </c>
      <c r="F90" s="245">
        <f>F5+F83</f>
        <v>13764000</v>
      </c>
      <c r="G90" s="374">
        <f t="shared" si="8"/>
        <v>101.18579399678005</v>
      </c>
      <c r="H90" s="375">
        <f t="shared" si="7"/>
        <v>100</v>
      </c>
      <c r="I90" s="1"/>
      <c r="J90" s="1"/>
      <c r="K90" s="1"/>
    </row>
    <row r="91" spans="1:11" ht="16.5" customHeight="1" thickTop="1">
      <c r="A91" s="162"/>
      <c r="B91" s="162"/>
      <c r="C91" s="293"/>
      <c r="D91" s="292"/>
      <c r="E91" s="292"/>
      <c r="F91" s="292"/>
      <c r="G91" s="292"/>
      <c r="H91"/>
      <c r="J91" s="1"/>
      <c r="K91" s="1"/>
    </row>
    <row r="92" spans="1:11" ht="15.75" hidden="1">
      <c r="A92" s="162"/>
      <c r="B92" s="162"/>
      <c r="C92" s="293" t="s">
        <v>463</v>
      </c>
      <c r="D92" s="402">
        <f>SUM(D93:D95)</f>
        <v>184800</v>
      </c>
      <c r="E92" s="402">
        <f>SUM(E93:E95)</f>
        <v>-135800</v>
      </c>
      <c r="F92" s="402">
        <f>SUM(F93:F95)</f>
        <v>49000</v>
      </c>
      <c r="G92" s="402">
        <f>F92/D92*100</f>
        <v>26.515151515151516</v>
      </c>
      <c r="H92" s="403"/>
      <c r="J92" s="1"/>
      <c r="K92" s="1"/>
    </row>
    <row r="93" spans="1:11" ht="12.75" hidden="1">
      <c r="A93" s="162"/>
      <c r="B93" s="162"/>
      <c r="C93" s="291" t="s">
        <v>464</v>
      </c>
      <c r="D93" s="292">
        <f>Finansiranje!C13</f>
        <v>0</v>
      </c>
      <c r="E93" s="292">
        <f>F93-D93</f>
        <v>0</v>
      </c>
      <c r="F93" s="292">
        <f>Finansiranje!E12</f>
        <v>0</v>
      </c>
      <c r="G93" s="292" t="e">
        <f>F93/D93*100</f>
        <v>#DIV/0!</v>
      </c>
      <c r="H93"/>
      <c r="J93" s="1"/>
      <c r="K93" s="1"/>
    </row>
    <row r="94" spans="1:11" ht="13.5" customHeight="1" hidden="1">
      <c r="A94" s="162"/>
      <c r="B94" s="162"/>
      <c r="C94" s="291" t="s">
        <v>465</v>
      </c>
      <c r="D94" s="292">
        <f>Finansiranje!C30</f>
        <v>120000</v>
      </c>
      <c r="E94" s="292">
        <f>F94-D94</f>
        <v>-120000</v>
      </c>
      <c r="F94" s="292">
        <f>Finansiranje!E30</f>
        <v>0</v>
      </c>
      <c r="G94" s="292">
        <f>F94/D94*100</f>
        <v>0</v>
      </c>
      <c r="H94" s="1"/>
      <c r="J94" s="1"/>
      <c r="K94" s="1"/>
    </row>
    <row r="95" spans="1:11" ht="12.75" hidden="1">
      <c r="A95" s="162"/>
      <c r="B95" s="162"/>
      <c r="C95" s="291" t="s">
        <v>413</v>
      </c>
      <c r="D95" s="292">
        <f>Finansiranje!C21</f>
        <v>64800</v>
      </c>
      <c r="E95" s="292">
        <f>F95-D95</f>
        <v>-15800</v>
      </c>
      <c r="F95" s="292">
        <f>Finansiranje!E18</f>
        <v>49000</v>
      </c>
      <c r="G95" s="292">
        <f>F95/D95*100</f>
        <v>75.61728395061729</v>
      </c>
      <c r="H95"/>
      <c r="J95" s="1"/>
      <c r="K95" s="1"/>
    </row>
    <row r="96" spans="1:11" ht="15.75" customHeight="1" hidden="1">
      <c r="A96" s="162"/>
      <c r="B96" s="162"/>
      <c r="C96" s="357" t="s">
        <v>466</v>
      </c>
      <c r="D96" s="401">
        <f>D90+D92</f>
        <v>13787500</v>
      </c>
      <c r="E96" s="401">
        <f>E90+E92</f>
        <v>25500</v>
      </c>
      <c r="F96" s="401">
        <f>F90+F92</f>
        <v>13813000</v>
      </c>
      <c r="G96" s="402">
        <f>F96/D96*100</f>
        <v>100.18495013599275</v>
      </c>
      <c r="H96" s="237"/>
      <c r="I96" s="1"/>
      <c r="J96" s="1"/>
      <c r="K96" s="1"/>
    </row>
    <row r="97" spans="1:11" ht="27.75" customHeight="1">
      <c r="A97" s="162"/>
      <c r="B97" s="162"/>
      <c r="C97" s="357"/>
      <c r="D97" s="401"/>
      <c r="E97" s="401"/>
      <c r="F97" s="401"/>
      <c r="G97" s="402"/>
      <c r="H97" s="237"/>
      <c r="I97" s="1"/>
      <c r="K97" s="1"/>
    </row>
    <row r="98" spans="1:8" ht="15.75">
      <c r="A98" s="162"/>
      <c r="B98" s="162"/>
      <c r="C98" s="476"/>
      <c r="D98" s="476"/>
      <c r="E98" s="323"/>
      <c r="F98" s="323"/>
      <c r="G98" s="323"/>
      <c r="H98"/>
    </row>
    <row r="99" spans="1:8" ht="14.25">
      <c r="A99" s="162"/>
      <c r="B99" s="162"/>
      <c r="C99" s="448"/>
      <c r="D99" s="449"/>
      <c r="E99" s="477"/>
      <c r="F99" s="292"/>
      <c r="H99"/>
    </row>
    <row r="100" spans="1:8" ht="26.25" customHeight="1">
      <c r="A100" s="162"/>
      <c r="B100" s="162"/>
      <c r="C100" s="450"/>
      <c r="D100" s="451"/>
      <c r="E100" s="477"/>
      <c r="F100" s="292"/>
      <c r="H100"/>
    </row>
    <row r="101" spans="1:8" ht="15.75" customHeight="1">
      <c r="A101" s="162"/>
      <c r="B101" s="162"/>
      <c r="C101" s="448"/>
      <c r="D101" s="449"/>
      <c r="E101" s="477"/>
      <c r="F101" s="292"/>
      <c r="H101"/>
    </row>
    <row r="102" spans="1:8" ht="12.75" customHeight="1">
      <c r="A102" s="162"/>
      <c r="B102" s="162"/>
      <c r="C102" s="162"/>
      <c r="D102" s="162"/>
      <c r="F102" s="162"/>
      <c r="H102"/>
    </row>
    <row r="103" spans="1:8" ht="12.75">
      <c r="A103" s="162"/>
      <c r="B103" s="162"/>
      <c r="C103" s="162"/>
      <c r="D103" s="162"/>
      <c r="F103" s="162"/>
      <c r="H103"/>
    </row>
    <row r="104" spans="1:8" ht="12.75">
      <c r="A104" s="162"/>
      <c r="B104" s="162"/>
      <c r="C104" s="162"/>
      <c r="D104" s="162"/>
      <c r="F104" s="478"/>
      <c r="H104"/>
    </row>
    <row r="105" spans="1:8" ht="12.75">
      <c r="A105" s="162"/>
      <c r="B105" s="162"/>
      <c r="C105" s="162"/>
      <c r="H105"/>
    </row>
    <row r="106" spans="1:8" ht="12.75">
      <c r="A106" s="162"/>
      <c r="B106" s="162"/>
      <c r="C106" s="162"/>
      <c r="D106" s="162"/>
      <c r="F106" s="478"/>
      <c r="H106"/>
    </row>
    <row r="107" spans="1:8" ht="12.75">
      <c r="A107" s="162"/>
      <c r="B107" s="162"/>
      <c r="C107" s="162"/>
      <c r="D107" s="162"/>
      <c r="H107"/>
    </row>
    <row r="108" spans="1:8" ht="12.75">
      <c r="A108" s="162"/>
      <c r="B108" s="162"/>
      <c r="C108" s="162"/>
      <c r="H108"/>
    </row>
    <row r="109" spans="1:8" ht="12.75">
      <c r="A109" s="162"/>
      <c r="B109" s="162"/>
      <c r="C109" s="162"/>
      <c r="H109"/>
    </row>
    <row r="110" spans="1:8" ht="12.75">
      <c r="A110" s="162"/>
      <c r="B110" s="162"/>
      <c r="C110" s="162"/>
      <c r="H110"/>
    </row>
    <row r="111" spans="1:8" ht="12.75">
      <c r="A111" s="162"/>
      <c r="B111" s="162"/>
      <c r="C111" s="162"/>
      <c r="H111"/>
    </row>
    <row r="112" spans="1:8" ht="12.75">
      <c r="A112" s="162"/>
      <c r="B112" s="162"/>
      <c r="C112" s="162"/>
      <c r="H112"/>
    </row>
    <row r="113" spans="1:8" ht="12.75">
      <c r="A113" s="162"/>
      <c r="B113" s="162"/>
      <c r="C113" s="162"/>
      <c r="H113"/>
    </row>
    <row r="114" spans="1:8" ht="12.75">
      <c r="A114" s="162"/>
      <c r="B114" s="162"/>
      <c r="C114" s="162"/>
      <c r="H114"/>
    </row>
    <row r="115" spans="1:8" ht="12.75">
      <c r="A115" s="162"/>
      <c r="B115" s="162"/>
      <c r="C115" s="162"/>
      <c r="H115"/>
    </row>
    <row r="116" spans="1:8" ht="12.75">
      <c r="A116" s="162"/>
      <c r="B116" s="162"/>
      <c r="C116" s="162"/>
      <c r="H116"/>
    </row>
    <row r="117" spans="1:8" ht="12.75">
      <c r="A117" s="162"/>
      <c r="B117" s="162"/>
      <c r="C117" s="162"/>
      <c r="H117"/>
    </row>
    <row r="118" spans="1:8" ht="12.75">
      <c r="A118" s="162"/>
      <c r="B118" s="162"/>
      <c r="C118" s="162"/>
      <c r="H118"/>
    </row>
    <row r="119" spans="1:8" ht="12.75">
      <c r="A119" s="162"/>
      <c r="B119" s="162"/>
      <c r="C119" s="162"/>
      <c r="H119"/>
    </row>
    <row r="120" spans="1:8" ht="12.75">
      <c r="A120" s="162"/>
      <c r="B120" s="162"/>
      <c r="C120" s="162"/>
      <c r="H120"/>
    </row>
    <row r="121" spans="1:8" ht="12.75">
      <c r="A121" s="162"/>
      <c r="B121" s="162"/>
      <c r="C121" s="162"/>
      <c r="H121"/>
    </row>
    <row r="122" spans="1:8" ht="12.75">
      <c r="A122" s="162"/>
      <c r="B122" s="162"/>
      <c r="C122" s="162"/>
      <c r="H122"/>
    </row>
    <row r="123" spans="1:8" ht="12.75">
      <c r="A123" s="162"/>
      <c r="B123" s="162"/>
      <c r="C123" s="162"/>
      <c r="H123"/>
    </row>
    <row r="124" spans="1:8" ht="12.75">
      <c r="A124" s="162"/>
      <c r="B124" s="162"/>
      <c r="C124" s="162"/>
      <c r="H124"/>
    </row>
    <row r="125" spans="1:8" ht="12.75">
      <c r="A125" s="162"/>
      <c r="B125" s="162"/>
      <c r="C125" s="162"/>
      <c r="H125"/>
    </row>
    <row r="126" spans="1:8" ht="12.75">
      <c r="A126" s="162"/>
      <c r="B126" s="162"/>
      <c r="C126" s="162"/>
      <c r="H126"/>
    </row>
    <row r="127" spans="1:8" ht="12.75">
      <c r="A127" s="162"/>
      <c r="B127" s="162"/>
      <c r="C127" s="162"/>
      <c r="H127"/>
    </row>
    <row r="128" spans="1:8" ht="12.75">
      <c r="A128" s="162"/>
      <c r="B128" s="162"/>
      <c r="C128" s="162"/>
      <c r="H128"/>
    </row>
    <row r="129" spans="1:8" ht="12.75">
      <c r="A129" s="162"/>
      <c r="B129" s="162"/>
      <c r="C129" s="162"/>
      <c r="H129"/>
    </row>
    <row r="130" spans="1:8" ht="12.75">
      <c r="A130" s="162"/>
      <c r="B130" s="162"/>
      <c r="C130" s="162"/>
      <c r="H130"/>
    </row>
    <row r="131" spans="1:8" ht="12.75">
      <c r="A131" s="162"/>
      <c r="B131" s="162"/>
      <c r="C131" s="162"/>
      <c r="H131"/>
    </row>
    <row r="132" spans="1:8" ht="12.75">
      <c r="A132" s="162"/>
      <c r="B132" s="162"/>
      <c r="C132" s="162"/>
      <c r="H132"/>
    </row>
    <row r="133" spans="1:8" ht="12.75">
      <c r="A133" s="162"/>
      <c r="B133" s="162"/>
      <c r="C133" s="162"/>
      <c r="H133"/>
    </row>
    <row r="134" spans="1:8" ht="12.75">
      <c r="A134" s="162"/>
      <c r="B134" s="162"/>
      <c r="C134" s="162"/>
      <c r="H134"/>
    </row>
    <row r="135" spans="1:8" ht="12.75">
      <c r="A135" s="162"/>
      <c r="B135" s="162"/>
      <c r="C135" s="162"/>
      <c r="H135"/>
    </row>
    <row r="136" spans="1:8" ht="12.75">
      <c r="A136" s="162"/>
      <c r="B136" s="162"/>
      <c r="C136" s="162"/>
      <c r="H136"/>
    </row>
    <row r="137" spans="1:8" ht="12.75">
      <c r="A137" s="162"/>
      <c r="B137" s="162"/>
      <c r="C137" s="162"/>
      <c r="H137"/>
    </row>
    <row r="138" spans="1:8" ht="12.75">
      <c r="A138" s="162"/>
      <c r="B138" s="162"/>
      <c r="C138" s="162"/>
      <c r="H138"/>
    </row>
    <row r="139" spans="1:8" ht="12.75">
      <c r="A139" s="162"/>
      <c r="B139" s="162"/>
      <c r="C139" s="162"/>
      <c r="H139"/>
    </row>
    <row r="140" spans="1:8" ht="12.75">
      <c r="A140" s="162"/>
      <c r="B140" s="162"/>
      <c r="C140" s="162"/>
      <c r="H140"/>
    </row>
    <row r="141" spans="1:8" ht="12.75">
      <c r="A141" s="162"/>
      <c r="B141" s="162"/>
      <c r="C141" s="162"/>
      <c r="H141"/>
    </row>
    <row r="142" spans="1:8" ht="12.75">
      <c r="A142" s="162"/>
      <c r="B142" s="162"/>
      <c r="C142" s="162"/>
      <c r="H142"/>
    </row>
    <row r="143" spans="1:8" ht="12.75">
      <c r="A143" s="162"/>
      <c r="B143" s="162"/>
      <c r="C143" s="162"/>
      <c r="H143"/>
    </row>
    <row r="144" spans="1:8" ht="12.75">
      <c r="A144" s="162"/>
      <c r="B144" s="162"/>
      <c r="C144" s="162"/>
      <c r="H144"/>
    </row>
    <row r="145" spans="1:8" ht="12.75">
      <c r="A145" s="162"/>
      <c r="B145" s="162"/>
      <c r="C145" s="162"/>
      <c r="H145"/>
    </row>
    <row r="146" spans="1:8" ht="12.75">
      <c r="A146" s="162"/>
      <c r="B146" s="162"/>
      <c r="C146" s="162"/>
      <c r="H146"/>
    </row>
    <row r="147" spans="1:7" ht="12.75">
      <c r="A147" s="162"/>
      <c r="B147" s="162"/>
      <c r="C147" s="3"/>
      <c r="D147" s="162"/>
      <c r="E147" s="162"/>
      <c r="F147" s="162"/>
      <c r="G147" s="162"/>
    </row>
    <row r="148" spans="1:7" ht="12.75">
      <c r="A148" s="4"/>
      <c r="B148" s="4"/>
      <c r="C148" s="3"/>
      <c r="D148" s="162"/>
      <c r="E148" s="162"/>
      <c r="F148" s="162"/>
      <c r="G148" s="162"/>
    </row>
    <row r="149" spans="1:7" ht="12.75">
      <c r="A149" s="4"/>
      <c r="B149" s="4"/>
      <c r="C149" s="3"/>
      <c r="D149" s="162"/>
      <c r="E149" s="162"/>
      <c r="F149" s="162"/>
      <c r="G149" s="162"/>
    </row>
    <row r="150" spans="1:7" ht="12.75">
      <c r="A150" s="4"/>
      <c r="B150" s="4"/>
      <c r="C150" s="3"/>
      <c r="D150" s="162"/>
      <c r="E150" s="162"/>
      <c r="F150" s="162"/>
      <c r="G150" s="162"/>
    </row>
    <row r="151" spans="1:7" ht="12.75">
      <c r="A151" s="4"/>
      <c r="B151" s="4"/>
      <c r="C151" s="3"/>
      <c r="D151" s="162"/>
      <c r="E151" s="162"/>
      <c r="F151" s="162"/>
      <c r="G151" s="162"/>
    </row>
    <row r="152" spans="1:7" ht="12.75">
      <c r="A152" s="4"/>
      <c r="B152" s="4"/>
      <c r="C152" s="3"/>
      <c r="D152" s="162"/>
      <c r="E152" s="162"/>
      <c r="F152" s="162"/>
      <c r="G152" s="162"/>
    </row>
    <row r="153" spans="1:7" ht="12.75">
      <c r="A153" s="4"/>
      <c r="B153" s="4"/>
      <c r="C153" s="3"/>
      <c r="D153" s="162"/>
      <c r="E153" s="162"/>
      <c r="F153" s="162"/>
      <c r="G153" s="162"/>
    </row>
    <row r="154" spans="1:7" ht="12.75">
      <c r="A154" s="4"/>
      <c r="B154" s="4"/>
      <c r="C154" s="3"/>
      <c r="D154" s="162"/>
      <c r="E154" s="162"/>
      <c r="F154" s="162"/>
      <c r="G154" s="162"/>
    </row>
    <row r="155" spans="1:7" ht="12.75">
      <c r="A155" s="4"/>
      <c r="B155" s="4"/>
      <c r="C155" s="3"/>
      <c r="D155" s="162"/>
      <c r="E155" s="162"/>
      <c r="F155" s="162"/>
      <c r="G155" s="162"/>
    </row>
    <row r="156" spans="1:7" ht="12.75">
      <c r="A156" s="4"/>
      <c r="B156" s="4"/>
      <c r="C156" s="3"/>
      <c r="D156" s="162"/>
      <c r="E156" s="162"/>
      <c r="F156" s="162"/>
      <c r="G156" s="162"/>
    </row>
    <row r="157" spans="1:7" ht="12.75">
      <c r="A157" s="4"/>
      <c r="B157" s="4"/>
      <c r="C157" s="3"/>
      <c r="D157" s="162"/>
      <c r="E157" s="162"/>
      <c r="F157" s="162"/>
      <c r="G157" s="162"/>
    </row>
    <row r="158" spans="1:7" ht="12.75">
      <c r="A158" s="4"/>
      <c r="B158" s="4"/>
      <c r="C158" s="3"/>
      <c r="D158" s="162"/>
      <c r="E158" s="162"/>
      <c r="F158" s="162"/>
      <c r="G158" s="162"/>
    </row>
    <row r="159" spans="1:10" s="160" customFormat="1" ht="12.75">
      <c r="A159" s="4"/>
      <c r="B159" s="4"/>
      <c r="C159" s="3"/>
      <c r="D159" s="162"/>
      <c r="E159" s="162"/>
      <c r="F159" s="162"/>
      <c r="G159" s="162"/>
      <c r="I159"/>
      <c r="J159"/>
    </row>
    <row r="160" spans="1:10" s="160" customFormat="1" ht="12.75">
      <c r="A160" s="4"/>
      <c r="B160" s="4"/>
      <c r="C160" s="3"/>
      <c r="D160" s="162"/>
      <c r="E160" s="162"/>
      <c r="F160" s="162"/>
      <c r="G160" s="162"/>
      <c r="I160"/>
      <c r="J160"/>
    </row>
    <row r="161" spans="1:10" s="160" customFormat="1" ht="12.75">
      <c r="A161" s="4"/>
      <c r="B161" s="4"/>
      <c r="C161" s="3"/>
      <c r="D161" s="162"/>
      <c r="E161" s="162"/>
      <c r="F161" s="162"/>
      <c r="G161" s="162"/>
      <c r="I161"/>
      <c r="J161"/>
    </row>
    <row r="162" spans="1:10" s="160" customFormat="1" ht="12.75">
      <c r="A162" s="4"/>
      <c r="B162" s="4"/>
      <c r="C162" s="3"/>
      <c r="D162" s="162"/>
      <c r="E162" s="162"/>
      <c r="F162" s="162"/>
      <c r="G162" s="162"/>
      <c r="I162"/>
      <c r="J162"/>
    </row>
    <row r="163" spans="1:10" s="160" customFormat="1" ht="12.75">
      <c r="A163" s="4"/>
      <c r="B163" s="4"/>
      <c r="C163" s="3"/>
      <c r="D163" s="162"/>
      <c r="E163" s="162"/>
      <c r="F163" s="162"/>
      <c r="G163" s="162"/>
      <c r="I163"/>
      <c r="J163"/>
    </row>
    <row r="164" spans="1:10" s="160" customFormat="1" ht="12.75">
      <c r="A164" s="4"/>
      <c r="B164" s="4"/>
      <c r="C164" s="3"/>
      <c r="D164" s="162"/>
      <c r="E164" s="162"/>
      <c r="F164" s="162"/>
      <c r="G164" s="162"/>
      <c r="I164"/>
      <c r="J164"/>
    </row>
    <row r="165" spans="1:10" s="160" customFormat="1" ht="12.75">
      <c r="A165" s="4"/>
      <c r="B165" s="4"/>
      <c r="C165" s="3"/>
      <c r="D165" s="162"/>
      <c r="E165" s="162"/>
      <c r="F165" s="162"/>
      <c r="G165" s="162"/>
      <c r="I165"/>
      <c r="J165"/>
    </row>
    <row r="166" spans="1:10" s="160" customFormat="1" ht="12.75">
      <c r="A166" s="4"/>
      <c r="B166" s="4"/>
      <c r="C166" s="3"/>
      <c r="D166" s="162"/>
      <c r="E166" s="162"/>
      <c r="F166" s="162"/>
      <c r="G166" s="162"/>
      <c r="I166"/>
      <c r="J166"/>
    </row>
    <row r="167" spans="1:10" s="160" customFormat="1" ht="12.75">
      <c r="A167" s="4"/>
      <c r="B167" s="4"/>
      <c r="C167" s="3"/>
      <c r="D167" s="162"/>
      <c r="E167" s="162"/>
      <c r="F167" s="162"/>
      <c r="G167" s="162"/>
      <c r="I167"/>
      <c r="J167"/>
    </row>
    <row r="168" spans="1:10" s="160" customFormat="1" ht="12.75">
      <c r="A168" s="4"/>
      <c r="B168" s="4"/>
      <c r="C168" s="3"/>
      <c r="D168" s="162"/>
      <c r="E168" s="162"/>
      <c r="F168" s="162"/>
      <c r="G168" s="162"/>
      <c r="I168"/>
      <c r="J168"/>
    </row>
    <row r="169" spans="1:10" s="160" customFormat="1" ht="12.75">
      <c r="A169" s="4"/>
      <c r="B169" s="4"/>
      <c r="C169" s="3"/>
      <c r="D169" s="162"/>
      <c r="E169" s="162"/>
      <c r="F169" s="162"/>
      <c r="G169" s="162"/>
      <c r="I169"/>
      <c r="J169"/>
    </row>
    <row r="170" spans="1:10" s="160" customFormat="1" ht="12.75">
      <c r="A170" s="4"/>
      <c r="B170" s="4"/>
      <c r="C170" s="3"/>
      <c r="D170" s="162"/>
      <c r="E170" s="162"/>
      <c r="F170" s="162"/>
      <c r="G170" s="162"/>
      <c r="I170"/>
      <c r="J170"/>
    </row>
    <row r="171" spans="1:10" s="160" customFormat="1" ht="12.75">
      <c r="A171" s="4"/>
      <c r="B171" s="4"/>
      <c r="C171" s="3"/>
      <c r="D171" s="162"/>
      <c r="E171" s="162"/>
      <c r="F171" s="162"/>
      <c r="G171" s="162"/>
      <c r="I171"/>
      <c r="J171"/>
    </row>
    <row r="172" spans="1:10" s="160" customFormat="1" ht="12.75">
      <c r="A172" s="4"/>
      <c r="B172" s="4"/>
      <c r="C172" s="3"/>
      <c r="D172" s="162"/>
      <c r="E172" s="162"/>
      <c r="F172" s="162"/>
      <c r="G172" s="162"/>
      <c r="I172"/>
      <c r="J172"/>
    </row>
    <row r="173" spans="1:10" s="160" customFormat="1" ht="12.75">
      <c r="A173" s="4"/>
      <c r="B173" s="4"/>
      <c r="C173"/>
      <c r="D173" s="162"/>
      <c r="E173" s="162"/>
      <c r="F173" s="162"/>
      <c r="G173" s="162"/>
      <c r="I173"/>
      <c r="J173"/>
    </row>
  </sheetData>
  <sheetProtection/>
  <mergeCells count="9">
    <mergeCell ref="F2:F3"/>
    <mergeCell ref="H2:H3"/>
    <mergeCell ref="A1:H1"/>
    <mergeCell ref="A2:A3"/>
    <mergeCell ref="C2:C3"/>
    <mergeCell ref="B2:B3"/>
    <mergeCell ref="D2:D3"/>
    <mergeCell ref="E2:E3"/>
    <mergeCell ref="G2:G3"/>
  </mergeCells>
  <printOptions horizontalCentered="1"/>
  <pageMargins left="0.15748031496062992" right="0.15748031496062992" top="0.3937007874015748" bottom="0.4724409448818898" header="0.2362204724409449" footer="0.2362204724409449"/>
  <pageSetup horizontalDpi="600" verticalDpi="600" orientation="landscape" paperSize="9" r:id="rId3"/>
  <headerFooter alignWithMargins="0">
    <oddFooter>&amp;R&amp;P</oddFooter>
  </headerFooter>
  <rowBreaks count="4" manualBreakCount="4">
    <brk id="33" max="9" man="1"/>
    <brk id="53" max="9" man="1"/>
    <brk id="71" max="9" man="1"/>
    <brk id="90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SheetLayoutView="70" workbookViewId="0" topLeftCell="A1">
      <pane ySplit="1" topLeftCell="A2" activePane="bottomLeft" state="frozen"/>
      <selection pane="topLeft" activeCell="A1" sqref="A1"/>
      <selection pane="bottomLeft" activeCell="A56" sqref="A56:IV56"/>
    </sheetView>
  </sheetViews>
  <sheetFormatPr defaultColWidth="9.140625" defaultRowHeight="12.75" customHeight="1"/>
  <cols>
    <col min="1" max="1" width="8.8515625" style="0" customWidth="1"/>
    <col min="2" max="2" width="58.28125" style="0" customWidth="1"/>
    <col min="3" max="3" width="14.8515625" style="0" customWidth="1"/>
    <col min="4" max="5" width="13.7109375" style="0" customWidth="1"/>
    <col min="6" max="6" width="11.7109375" style="0" customWidth="1"/>
    <col min="7" max="7" width="9.421875" style="0" customWidth="1"/>
    <col min="8" max="8" width="19.57421875" style="0" customWidth="1"/>
    <col min="9" max="9" width="10.140625" style="0" bestFit="1" customWidth="1"/>
    <col min="10" max="10" width="16.00390625" style="0" customWidth="1"/>
  </cols>
  <sheetData>
    <row r="1" spans="1:8" ht="39" customHeight="1" thickBot="1">
      <c r="A1" s="498" t="s">
        <v>476</v>
      </c>
      <c r="B1" s="498"/>
      <c r="C1" s="498"/>
      <c r="D1" s="498"/>
      <c r="E1" s="498"/>
      <c r="F1" s="498"/>
      <c r="G1" s="498"/>
      <c r="H1" s="135"/>
    </row>
    <row r="2" spans="1:7" ht="95.25" customHeight="1" thickTop="1">
      <c r="A2" s="119" t="s">
        <v>64</v>
      </c>
      <c r="B2" s="118" t="s">
        <v>237</v>
      </c>
      <c r="C2" s="387" t="s">
        <v>493</v>
      </c>
      <c r="D2" s="387" t="s">
        <v>521</v>
      </c>
      <c r="E2" s="387" t="s">
        <v>482</v>
      </c>
      <c r="F2" s="387" t="s">
        <v>121</v>
      </c>
      <c r="G2" s="145" t="s">
        <v>228</v>
      </c>
    </row>
    <row r="3" spans="1:7" ht="15.75" customHeight="1">
      <c r="A3" s="246">
        <v>1</v>
      </c>
      <c r="B3" s="388">
        <v>2</v>
      </c>
      <c r="C3" s="389">
        <v>3</v>
      </c>
      <c r="D3" s="389" t="s">
        <v>488</v>
      </c>
      <c r="E3" s="389">
        <v>5</v>
      </c>
      <c r="F3" s="389" t="s">
        <v>489</v>
      </c>
      <c r="G3" s="114">
        <v>7</v>
      </c>
    </row>
    <row r="4" spans="1:8" ht="24" customHeight="1">
      <c r="A4" s="187"/>
      <c r="B4" s="188" t="s">
        <v>430</v>
      </c>
      <c r="C4" s="190">
        <f>C5+C34+C39</f>
        <v>11221900</v>
      </c>
      <c r="D4" s="190">
        <f>D5+D34+D39</f>
        <v>-60488.52000000002</v>
      </c>
      <c r="E4" s="190">
        <f>E5+E34+E39</f>
        <v>11161411.48</v>
      </c>
      <c r="F4" s="190">
        <f>E4/C4*100</f>
        <v>99.4609779092667</v>
      </c>
      <c r="G4" s="189">
        <f>E4/$E$50*100</f>
        <v>88.69252033360792</v>
      </c>
      <c r="H4" s="1"/>
    </row>
    <row r="5" spans="1:8" ht="15.75" customHeight="1">
      <c r="A5" s="302">
        <v>410000</v>
      </c>
      <c r="B5" s="158" t="s">
        <v>438</v>
      </c>
      <c r="C5" s="225">
        <f>C6+C11+C21+C25+C27+C29+C32</f>
        <v>10889900</v>
      </c>
      <c r="D5" s="225">
        <f>D6+D11+D21+D25+D27+D29+D32</f>
        <v>89672.07999999999</v>
      </c>
      <c r="E5" s="225">
        <f>E6+E11+E21+E25+E27+E29+E32</f>
        <v>10979572.08</v>
      </c>
      <c r="F5" s="225">
        <f aca="true" t="shared" si="0" ref="F5:F50">E5/C5*100</f>
        <v>100.82344263950999</v>
      </c>
      <c r="G5" s="386">
        <f aca="true" t="shared" si="1" ref="G5:G50">E5/$E$50*100</f>
        <v>87.24756019475358</v>
      </c>
      <c r="H5" s="1"/>
    </row>
    <row r="6" spans="1:10" ht="15.75" customHeight="1">
      <c r="A6" s="232">
        <v>411000</v>
      </c>
      <c r="B6" s="121" t="s">
        <v>425</v>
      </c>
      <c r="C6" s="130">
        <f>SUM(C7:C10)</f>
        <v>4045900</v>
      </c>
      <c r="D6" s="130">
        <f>SUM(D7:D10)</f>
        <v>-124721.75</v>
      </c>
      <c r="E6" s="130">
        <f>SUM(E7:E10)</f>
        <v>3921178.25</v>
      </c>
      <c r="F6" s="390">
        <f t="shared" si="0"/>
        <v>96.91732988951777</v>
      </c>
      <c r="G6" s="385">
        <f t="shared" si="1"/>
        <v>31.15906821399851</v>
      </c>
      <c r="H6" s="1"/>
      <c r="J6" s="93"/>
    </row>
    <row r="7" spans="1:10" ht="13.5" customHeight="1">
      <c r="A7" s="231">
        <v>411100</v>
      </c>
      <c r="B7" s="300" t="s">
        <v>419</v>
      </c>
      <c r="C7" s="131">
        <f>SUMIF(Org!$C$10:Org!$D$430,411100,Org!E$10:Org!E$431)</f>
        <v>2975000</v>
      </c>
      <c r="D7" s="131">
        <f>SUMIF(Org!$C$10:Org!$D$430,411100,Org!F$10:Org!F$431)</f>
        <v>117935</v>
      </c>
      <c r="E7" s="131">
        <f>SUMIF(Org!$C$8:Org!$D$433,411100,Org!G$8:Org!G$433)</f>
        <v>3092935</v>
      </c>
      <c r="F7" s="398">
        <f t="shared" si="0"/>
        <v>103.96420168067226</v>
      </c>
      <c r="G7" s="399">
        <f t="shared" si="1"/>
        <v>24.5775546282456</v>
      </c>
      <c r="H7" s="1"/>
      <c r="J7" s="93"/>
    </row>
    <row r="8" spans="1:10" ht="25.5" customHeight="1">
      <c r="A8" s="231">
        <v>411200</v>
      </c>
      <c r="B8" s="301" t="s">
        <v>426</v>
      </c>
      <c r="C8" s="131">
        <f>SUMIF(Org!$C$8:Org!$D$430,411200,Org!E$8:Org!E$432)</f>
        <v>811600</v>
      </c>
      <c r="D8" s="131">
        <f>SUMIF(Org!$C$8:Org!$D$430,411200,Org!F$8:Org!F$432)</f>
        <v>-48537.75</v>
      </c>
      <c r="E8" s="131">
        <f>SUMIF(Org!$C$8:Org!$C$433,411200,Org!G$8:Org!G$433)</f>
        <v>763062.25</v>
      </c>
      <c r="F8" s="398">
        <f t="shared" si="0"/>
        <v>94.01949852143913</v>
      </c>
      <c r="G8" s="399">
        <f t="shared" si="1"/>
        <v>6.063562323206599</v>
      </c>
      <c r="H8" s="1"/>
      <c r="J8" s="93"/>
    </row>
    <row r="9" spans="1:10" ht="14.25" customHeight="1">
      <c r="A9" s="231">
        <v>411300</v>
      </c>
      <c r="B9" s="300" t="s">
        <v>420</v>
      </c>
      <c r="C9" s="131">
        <f>SUMIF(Org!$C$10:Org!$D$430,411300,Org!E$10:Org!E$432)</f>
        <v>74300</v>
      </c>
      <c r="D9" s="131">
        <f>SUMIF(Org!$C$10:Org!$D$430,411300,Org!F$10:Org!F$432)</f>
        <v>-39200</v>
      </c>
      <c r="E9" s="131">
        <f>SUMIF(Org!$C$8:Org!$C$433,411300,Org!G$8:Org!G$433)</f>
        <v>35100</v>
      </c>
      <c r="F9" s="398">
        <f t="shared" si="0"/>
        <v>47.24091520861373</v>
      </c>
      <c r="G9" s="399">
        <f t="shared" si="1"/>
        <v>0.2789170051913217</v>
      </c>
      <c r="H9" s="1"/>
      <c r="J9" s="93"/>
    </row>
    <row r="10" spans="1:10" ht="14.25" customHeight="1">
      <c r="A10" s="231">
        <v>411400</v>
      </c>
      <c r="B10" s="300" t="s">
        <v>421</v>
      </c>
      <c r="C10" s="131">
        <f>SUMIF(Org!$C$10:Org!$D$430,411400,Org!E$10:Org!E$432)</f>
        <v>185000</v>
      </c>
      <c r="D10" s="131">
        <f>SUMIF(Org!$C$10:Org!$D$430,411400,Org!F$10:Org!F$432)</f>
        <v>-154919</v>
      </c>
      <c r="E10" s="131">
        <f>SUMIF(Org!$C$8:Org!$C$433,411400,Org!G$8:Org!G$433)</f>
        <v>30081</v>
      </c>
      <c r="F10" s="398">
        <f t="shared" si="0"/>
        <v>16.259999999999998</v>
      </c>
      <c r="G10" s="399">
        <f t="shared" si="1"/>
        <v>0.23903425735498995</v>
      </c>
      <c r="H10" s="1"/>
      <c r="J10" s="93"/>
    </row>
    <row r="11" spans="1:10" ht="15.75" customHeight="1">
      <c r="A11" s="232">
        <v>412000</v>
      </c>
      <c r="B11" s="122" t="s">
        <v>147</v>
      </c>
      <c r="C11" s="130">
        <f>SUM(C12:C20)</f>
        <v>2488300</v>
      </c>
      <c r="D11" s="130">
        <f>SUM(D12:D20)</f>
        <v>167083.43</v>
      </c>
      <c r="E11" s="130">
        <f>SUM(E12:E20)</f>
        <v>2655383.4299999997</v>
      </c>
      <c r="F11" s="390">
        <f t="shared" si="0"/>
        <v>106.71476228750552</v>
      </c>
      <c r="G11" s="385">
        <f t="shared" si="1"/>
        <v>21.100615211688307</v>
      </c>
      <c r="H11" s="1"/>
      <c r="J11" s="1"/>
    </row>
    <row r="12" spans="1:14" ht="15" customHeight="1">
      <c r="A12" s="233">
        <v>412100</v>
      </c>
      <c r="B12" s="123" t="s">
        <v>148</v>
      </c>
      <c r="C12" s="131">
        <f>SUMIF(Org!$C$10:Org!$D$430,412100,Org!E$10:Org!E$431)</f>
        <v>107000</v>
      </c>
      <c r="D12" s="131">
        <f>SUMIF(Org!$C$10:Org!$D$430,412100,Org!F$10:Org!F$431)</f>
        <v>-20660</v>
      </c>
      <c r="E12" s="131">
        <f>SUMIF(Org!$C$8:Org!$C$433,412100,Org!G$8:Org!G$433)</f>
        <v>86340</v>
      </c>
      <c r="F12" s="398">
        <f t="shared" si="0"/>
        <v>80.69158878504673</v>
      </c>
      <c r="G12" s="399">
        <f t="shared" si="1"/>
        <v>0.6860881546501059</v>
      </c>
      <c r="H12" s="1"/>
      <c r="J12" s="1"/>
      <c r="K12" s="1"/>
      <c r="L12" s="1"/>
      <c r="M12" s="1"/>
      <c r="N12" s="1"/>
    </row>
    <row r="13" spans="1:14" ht="27" customHeight="1">
      <c r="A13" s="233">
        <v>412200</v>
      </c>
      <c r="B13" s="123" t="s">
        <v>149</v>
      </c>
      <c r="C13" s="131">
        <f>SUMIF(Org!$C$10:Org!$D$430,412200,Org!E$10:Org!E$431)</f>
        <v>388800</v>
      </c>
      <c r="D13" s="131">
        <f>SUMIF(Org!$C$10:Org!$D$430,412200,Org!F$10:Org!F$431)</f>
        <v>47275</v>
      </c>
      <c r="E13" s="131">
        <f>SUMIF(Org!$C$8:Org!$C$433,412200,Org!G$8:Org!G$433)</f>
        <v>436075</v>
      </c>
      <c r="F13" s="398">
        <f t="shared" si="0"/>
        <v>112.15920781893006</v>
      </c>
      <c r="G13" s="399">
        <f t="shared" si="1"/>
        <v>3.465206069481641</v>
      </c>
      <c r="H13" s="1"/>
      <c r="J13" s="1"/>
      <c r="K13" s="1"/>
      <c r="L13" s="1"/>
      <c r="M13" s="1"/>
      <c r="N13" s="1"/>
    </row>
    <row r="14" spans="1:14" ht="14.25" customHeight="1">
      <c r="A14" s="233">
        <v>412300</v>
      </c>
      <c r="B14" s="124" t="s">
        <v>150</v>
      </c>
      <c r="C14" s="131">
        <f>SUMIF(Org!$C$10:Org!$D$430,412300,Org!E$10:Org!E$431)</f>
        <v>86500</v>
      </c>
      <c r="D14" s="131">
        <f>SUMIF(Org!$C$10:Org!$D$430,412300,Org!F$10:Org!F$431)</f>
        <v>-10107.5</v>
      </c>
      <c r="E14" s="131">
        <f>SUMIF(Org!$C$8:Org!$C$433,412300,Org!G$8:Org!G$433)</f>
        <v>76392.5</v>
      </c>
      <c r="F14" s="398">
        <f t="shared" si="0"/>
        <v>88.31502890173411</v>
      </c>
      <c r="G14" s="399">
        <f t="shared" si="1"/>
        <v>0.6070418039623374</v>
      </c>
      <c r="H14" s="1"/>
      <c r="J14" s="1"/>
      <c r="K14" s="1"/>
      <c r="L14" s="1"/>
      <c r="M14" s="1"/>
      <c r="N14" s="1"/>
    </row>
    <row r="15" spans="1:14" ht="14.25" customHeight="1">
      <c r="A15" s="233">
        <v>412400</v>
      </c>
      <c r="B15" s="124" t="s">
        <v>151</v>
      </c>
      <c r="C15" s="131">
        <f>SUMIF(Org!$C$10:Org!$D$430,412400,Org!E$10:Org!E$431)</f>
        <v>80000</v>
      </c>
      <c r="D15" s="131">
        <f>SUMIF(Org!$C$10:Org!$D$430,412400,Org!F$10:Org!F$431)</f>
        <v>-10855.5</v>
      </c>
      <c r="E15" s="131">
        <f>SUMIF(Org!$C$8:Org!$C$433,412400,Org!G$8:Org!G$433)</f>
        <v>69144.5</v>
      </c>
      <c r="F15" s="398">
        <f t="shared" si="0"/>
        <v>86.430625</v>
      </c>
      <c r="G15" s="399">
        <f t="shared" si="1"/>
        <v>0.5494466343433431</v>
      </c>
      <c r="H15" s="1"/>
      <c r="J15" s="1"/>
      <c r="K15" s="1"/>
      <c r="L15" s="1"/>
      <c r="M15" s="1"/>
      <c r="N15" s="1"/>
    </row>
    <row r="16" spans="1:14" ht="13.5" customHeight="1">
      <c r="A16" s="233">
        <v>412500</v>
      </c>
      <c r="B16" s="124" t="s">
        <v>152</v>
      </c>
      <c r="C16" s="131">
        <f>SUMIF(Org!$C$10:Org!$D$430,412500,Org!E$10:Org!E$431)</f>
        <v>392400</v>
      </c>
      <c r="D16" s="131">
        <f>SUMIF(Org!$C$10:Org!$D$430,412500,Org!F$10:Org!F$431)</f>
        <v>20341.880000000005</v>
      </c>
      <c r="E16" s="131">
        <f>SUMIF(Org!$C$8:Org!$C$433,412500,Org!G$8:Org!G$433)</f>
        <v>412741.88</v>
      </c>
      <c r="F16" s="398">
        <f t="shared" si="0"/>
        <v>105.18396534148829</v>
      </c>
      <c r="G16" s="399">
        <f t="shared" si="1"/>
        <v>3.2797928514711074</v>
      </c>
      <c r="H16" s="1"/>
      <c r="J16" s="1"/>
      <c r="K16" s="1"/>
      <c r="L16" s="1"/>
      <c r="M16" s="1"/>
      <c r="N16" s="1"/>
    </row>
    <row r="17" spans="1:14" ht="12.75" customHeight="1">
      <c r="A17" s="233">
        <v>412600</v>
      </c>
      <c r="B17" s="124" t="s">
        <v>153</v>
      </c>
      <c r="C17" s="131">
        <f>SUMIF(Org!$C$10:Org!$D$430,412600,Org!E$10:Org!E$431)</f>
        <v>11100</v>
      </c>
      <c r="D17" s="131">
        <f>SUMIF(Org!$C$10:Org!$D$430,412600,Org!F$10:Org!F$431)</f>
        <v>-1740</v>
      </c>
      <c r="E17" s="131">
        <f>SUMIF(Org!$C$8:Org!$C$433,412600,Org!G$8:Org!G$433)</f>
        <v>9360</v>
      </c>
      <c r="F17" s="398">
        <f t="shared" si="0"/>
        <v>84.32432432432432</v>
      </c>
      <c r="G17" s="399">
        <f t="shared" si="1"/>
        <v>0.07437786805101912</v>
      </c>
      <c r="H17" s="1"/>
      <c r="J17" s="1"/>
      <c r="K17" s="1"/>
      <c r="L17" s="1"/>
      <c r="M17" s="1"/>
      <c r="N17" s="1"/>
    </row>
    <row r="18" spans="1:14" ht="12.75" customHeight="1">
      <c r="A18" s="233">
        <v>412700</v>
      </c>
      <c r="B18" s="123" t="s">
        <v>154</v>
      </c>
      <c r="C18" s="131">
        <f>SUMIF(Org!$C$10:Org!$D$430,412700,Org!E$10:Org!E$431)</f>
        <v>374100</v>
      </c>
      <c r="D18" s="131">
        <f>SUMIF(Org!$C$10:Org!$D$430,412700,Org!F$10:Org!F$431)</f>
        <v>19550</v>
      </c>
      <c r="E18" s="131">
        <f>SUMIF(Org!$C$8:Org!$C$433,412700,Org!G$8:Org!G$433)</f>
        <v>393650</v>
      </c>
      <c r="F18" s="398">
        <f t="shared" si="0"/>
        <v>105.22587543437582</v>
      </c>
      <c r="G18" s="399">
        <f t="shared" si="1"/>
        <v>3.128082025457658</v>
      </c>
      <c r="H18" s="1"/>
      <c r="J18" s="1"/>
      <c r="K18" s="1"/>
      <c r="L18" s="1"/>
      <c r="M18" s="1"/>
      <c r="N18" s="1"/>
    </row>
    <row r="19" spans="1:14" ht="26.25" customHeight="1">
      <c r="A19" s="234">
        <v>412800</v>
      </c>
      <c r="B19" s="125" t="s">
        <v>155</v>
      </c>
      <c r="C19" s="131">
        <f>SUMIF(Org!$C$10:Org!$D$430,412800,Org!E$10:Org!E$431)</f>
        <v>520000</v>
      </c>
      <c r="D19" s="131">
        <f>SUMIF(Org!$C$10:Org!$D$430,412800,Org!F$10:Org!F$431)</f>
        <v>91200.99</v>
      </c>
      <c r="E19" s="131">
        <f>SUMIF(Org!$C$8:Org!$C$433,412800,Org!G$8:Org!G$433)</f>
        <v>611200.99</v>
      </c>
      <c r="F19" s="398">
        <f t="shared" si="0"/>
        <v>117.53865192307693</v>
      </c>
      <c r="G19" s="399">
        <f t="shared" si="1"/>
        <v>4.856819079794045</v>
      </c>
      <c r="H19" s="1"/>
      <c r="J19" s="1"/>
      <c r="K19" s="1"/>
      <c r="L19" s="1"/>
      <c r="M19" s="1"/>
      <c r="N19" s="1"/>
    </row>
    <row r="20" spans="1:14" ht="12.75" customHeight="1">
      <c r="A20" s="234">
        <v>412900</v>
      </c>
      <c r="B20" s="180" t="s">
        <v>427</v>
      </c>
      <c r="C20" s="132">
        <f>SUMIF(Org!$C$10:Org!$D$430,412900,Org!E$10:Org!E$431)</f>
        <v>528400</v>
      </c>
      <c r="D20" s="131">
        <f>SUMIF(Org!$C$10:Org!$D$430,412900,Org!F$10:Org!F$431)</f>
        <v>32078.559999999998</v>
      </c>
      <c r="E20" s="131">
        <f>SUMIF(Org!$C$8:Org!$C$433,412900,Org!G$8:Org!G$433)</f>
        <v>560478.5599999999</v>
      </c>
      <c r="F20" s="398">
        <f t="shared" si="0"/>
        <v>106.07088569265706</v>
      </c>
      <c r="G20" s="399">
        <f t="shared" si="1"/>
        <v>4.453760724477051</v>
      </c>
      <c r="H20" s="1"/>
      <c r="J20" s="1"/>
      <c r="K20" s="1"/>
      <c r="L20" s="1"/>
      <c r="M20" s="1"/>
      <c r="N20" s="1"/>
    </row>
    <row r="21" spans="1:14" ht="15.75" customHeight="1">
      <c r="A21" s="232">
        <v>413000</v>
      </c>
      <c r="B21" s="127" t="s">
        <v>157</v>
      </c>
      <c r="C21" s="133">
        <f>SUM(C22:C24)</f>
        <v>389500</v>
      </c>
      <c r="D21" s="133">
        <f>SUM(D22:D24)</f>
        <v>-13675</v>
      </c>
      <c r="E21" s="133">
        <f>SUM(E22:E23)</f>
        <v>375825</v>
      </c>
      <c r="F21" s="390">
        <f t="shared" si="0"/>
        <v>96.48908857509628</v>
      </c>
      <c r="G21" s="385">
        <f t="shared" si="1"/>
        <v>2.986438275670327</v>
      </c>
      <c r="H21" s="1"/>
      <c r="J21" s="1"/>
      <c r="K21" s="1"/>
      <c r="L21" s="1"/>
      <c r="M21" s="1"/>
      <c r="N21" s="1"/>
    </row>
    <row r="22" spans="1:14" ht="16.5" customHeight="1">
      <c r="A22" s="231">
        <v>413300</v>
      </c>
      <c r="B22" s="123" t="s">
        <v>158</v>
      </c>
      <c r="C22" s="134">
        <f>SUMIF(Org!$C$10:Org!$D$430,413300,Org!E$10:Org!E$431)</f>
        <v>385500</v>
      </c>
      <c r="D22" s="134">
        <f>SUMIF(Org!$C$10:Org!$D$430,413300,Org!F$10:Org!F$431)</f>
        <v>-13675</v>
      </c>
      <c r="E22" s="134">
        <f>SUMIF(Org!$C$8:Org!$C$433,413300,Org!G$8:Org!G$433)</f>
        <v>371825</v>
      </c>
      <c r="F22" s="398">
        <f t="shared" si="0"/>
        <v>96.4526588845655</v>
      </c>
      <c r="G22" s="399">
        <f t="shared" si="1"/>
        <v>2.9546528619733103</v>
      </c>
      <c r="H22" s="1"/>
      <c r="J22" s="1"/>
      <c r="K22" s="1"/>
      <c r="L22" s="1"/>
      <c r="M22" s="1"/>
      <c r="N22" s="1"/>
    </row>
    <row r="23" spans="1:14" ht="15" customHeight="1">
      <c r="A23" s="231">
        <v>413400</v>
      </c>
      <c r="B23" s="123" t="s">
        <v>159</v>
      </c>
      <c r="C23" s="134">
        <f>SUMIF(Org!$C$10:Org!$D$430,413400,Org!E$10:Org!E$431)</f>
        <v>4000</v>
      </c>
      <c r="D23" s="134">
        <f>SUMIF(Org!$C$10:Org!$D$430,413400,Org!F$10:Org!F$431)</f>
        <v>0</v>
      </c>
      <c r="E23" s="134">
        <f>SUMIF(Org!$C$8:Org!$C$433,413400,Org!G$8:Org!G$433)</f>
        <v>4000</v>
      </c>
      <c r="F23" s="398">
        <f t="shared" si="0"/>
        <v>100</v>
      </c>
      <c r="G23" s="399">
        <f t="shared" si="1"/>
        <v>0.03178541369701672</v>
      </c>
      <c r="H23" s="1"/>
      <c r="J23" s="1"/>
      <c r="K23" s="1"/>
      <c r="L23" s="1"/>
      <c r="M23" s="1"/>
      <c r="N23" s="1"/>
    </row>
    <row r="24" spans="1:14" ht="13.5" customHeight="1" hidden="1">
      <c r="A24" s="231">
        <v>413700</v>
      </c>
      <c r="B24" s="123" t="s">
        <v>160</v>
      </c>
      <c r="C24" s="134">
        <f>SUMIF(Org!$C$10:Org!$D$430,413700,Org!E$10:Org!E$431)</f>
        <v>0</v>
      </c>
      <c r="D24" s="134">
        <f>SUMIF(Org!$C$10:Org!$D$430,413700,Org!G$10:Org!G$431)</f>
        <v>0</v>
      </c>
      <c r="E24" s="134">
        <f>SUMIF(Org!$C$10:Org!$D$430,413700,Org!H$10:Org!H$431)</f>
        <v>0</v>
      </c>
      <c r="F24" s="190" t="e">
        <f t="shared" si="0"/>
        <v>#DIV/0!</v>
      </c>
      <c r="G24" s="189">
        <f t="shared" si="1"/>
        <v>0</v>
      </c>
      <c r="H24" s="1"/>
      <c r="J24" s="1"/>
      <c r="K24" s="1"/>
      <c r="L24" s="1"/>
      <c r="M24" s="1"/>
      <c r="N24" s="1"/>
    </row>
    <row r="25" spans="1:14" ht="15.75" customHeight="1">
      <c r="A25" s="232">
        <v>414000</v>
      </c>
      <c r="B25" s="121" t="s">
        <v>203</v>
      </c>
      <c r="C25" s="130">
        <f>SUM(C26)</f>
        <v>400000</v>
      </c>
      <c r="D25" s="130">
        <f>SUM(D26)</f>
        <v>0</v>
      </c>
      <c r="E25" s="130">
        <f>SUM(E26)</f>
        <v>400000</v>
      </c>
      <c r="F25" s="390">
        <f t="shared" si="0"/>
        <v>100</v>
      </c>
      <c r="G25" s="385">
        <f t="shared" si="1"/>
        <v>3.178541369701672</v>
      </c>
      <c r="H25" s="1"/>
      <c r="J25" s="1"/>
      <c r="K25" s="1"/>
      <c r="L25" s="1"/>
      <c r="M25" s="1"/>
      <c r="N25" s="1"/>
    </row>
    <row r="26" spans="1:14" ht="15" customHeight="1">
      <c r="A26" s="231">
        <v>414100</v>
      </c>
      <c r="B26" s="123" t="s">
        <v>203</v>
      </c>
      <c r="C26" s="134">
        <f>SUMIF(Org!$C$10:Org!$D$430,414100,Org!E$10:Org!E$431)</f>
        <v>400000</v>
      </c>
      <c r="D26" s="134">
        <f>SUMIF(Org!$C$10:Org!$D$430,414100,Org!F$10:Org!F$431)</f>
        <v>0</v>
      </c>
      <c r="E26" s="134">
        <f>SUMIF(Org!$C$8:Org!$C$433,414100,Org!G$8:Org!G$433)</f>
        <v>400000</v>
      </c>
      <c r="F26" s="398">
        <f t="shared" si="0"/>
        <v>100</v>
      </c>
      <c r="G26" s="399">
        <f t="shared" si="1"/>
        <v>3.178541369701672</v>
      </c>
      <c r="H26" s="1"/>
      <c r="J26" s="1"/>
      <c r="K26" s="1"/>
      <c r="L26" s="1"/>
      <c r="M26" s="1"/>
      <c r="N26" s="1"/>
    </row>
    <row r="27" spans="1:14" ht="15.75" customHeight="1">
      <c r="A27" s="232">
        <v>415000</v>
      </c>
      <c r="B27" s="122" t="s">
        <v>161</v>
      </c>
      <c r="C27" s="130">
        <f>SUM(C28)</f>
        <v>886200</v>
      </c>
      <c r="D27" s="130">
        <f>SUM(D28)</f>
        <v>51235.4</v>
      </c>
      <c r="E27" s="130">
        <f>SUM(E28)</f>
        <v>937435.4</v>
      </c>
      <c r="F27" s="390">
        <f t="shared" si="0"/>
        <v>105.7814714511397</v>
      </c>
      <c r="G27" s="385">
        <f t="shared" si="1"/>
        <v>7.449193000807086</v>
      </c>
      <c r="H27" s="1"/>
      <c r="J27" s="1"/>
      <c r="K27" s="1"/>
      <c r="L27" s="1"/>
      <c r="M27" s="1"/>
      <c r="N27" s="1"/>
    </row>
    <row r="28" spans="1:14" ht="15" customHeight="1">
      <c r="A28" s="234">
        <v>415200</v>
      </c>
      <c r="B28" s="126" t="s">
        <v>162</v>
      </c>
      <c r="C28" s="131">
        <f>SUMIF(Org!$C$10:Org!$D$430,415200,Org!E$10:Org!E$431)</f>
        <v>886200</v>
      </c>
      <c r="D28" s="131">
        <f>SUMIF(Org!$C$10:Org!$D$430,415200,Org!F$10:Org!F$431)</f>
        <v>51235.4</v>
      </c>
      <c r="E28" s="131">
        <f>SUMIF(Org!$C$8:Org!$C$433,415200,Org!G$8:Org!G$433)</f>
        <v>937435.4</v>
      </c>
      <c r="F28" s="398">
        <f t="shared" si="0"/>
        <v>105.7814714511397</v>
      </c>
      <c r="G28" s="399">
        <f t="shared" si="1"/>
        <v>7.449193000807086</v>
      </c>
      <c r="H28" s="1"/>
      <c r="J28" s="1"/>
      <c r="K28" s="1"/>
      <c r="L28" s="1"/>
      <c r="M28" s="1"/>
      <c r="N28" s="1"/>
    </row>
    <row r="29" spans="1:14" ht="26.25" customHeight="1">
      <c r="A29" s="232">
        <v>416000</v>
      </c>
      <c r="B29" s="121" t="s">
        <v>170</v>
      </c>
      <c r="C29" s="130">
        <f>SUM(C30:C31)</f>
        <v>2520000</v>
      </c>
      <c r="D29" s="130">
        <f>SUM(D30:D31)</f>
        <v>67850</v>
      </c>
      <c r="E29" s="130">
        <f>SUM(E30:E31)</f>
        <v>2587850</v>
      </c>
      <c r="F29" s="390">
        <f t="shared" si="0"/>
        <v>102.69246031746032</v>
      </c>
      <c r="G29" s="385">
        <f t="shared" si="1"/>
        <v>20.563970708956177</v>
      </c>
      <c r="H29" s="1"/>
      <c r="J29" s="1"/>
      <c r="K29" s="1"/>
      <c r="L29" s="1"/>
      <c r="M29" s="1"/>
      <c r="N29" s="1"/>
    </row>
    <row r="30" spans="1:10" ht="24.75" customHeight="1">
      <c r="A30" s="231">
        <v>416100</v>
      </c>
      <c r="B30" s="123" t="s">
        <v>163</v>
      </c>
      <c r="C30" s="131">
        <f>SUMIF(Org!$C$10:Org!$D$430,416100,Org!E$10:Org!E$431)</f>
        <v>2230000</v>
      </c>
      <c r="D30" s="131">
        <f>SUMIF(Org!$C$10:Org!$D$430,416100,Org!F$10:Org!F$431)</f>
        <v>45350</v>
      </c>
      <c r="E30" s="131">
        <f>SUMIF(Org!$C$8:Org!$C$433,416100,Org!G$8:Org!G$433)</f>
        <v>2275350</v>
      </c>
      <c r="F30" s="398">
        <f t="shared" si="0"/>
        <v>102.03363228699551</v>
      </c>
      <c r="G30" s="399">
        <f t="shared" si="1"/>
        <v>18.08073526387675</v>
      </c>
      <c r="H30" s="1"/>
      <c r="J30" s="1"/>
    </row>
    <row r="31" spans="1:8" ht="27" customHeight="1">
      <c r="A31" s="231">
        <v>416300</v>
      </c>
      <c r="B31" s="123" t="s">
        <v>164</v>
      </c>
      <c r="C31" s="131">
        <f>SUMIF(Org!$C$10:Org!$D$430,416300,Org!E$10:Org!E$431)</f>
        <v>290000</v>
      </c>
      <c r="D31" s="131">
        <f>SUMIF(Org!$C$10:Org!$D$430,416300,Org!F$10:Org!F$431)</f>
        <v>22500</v>
      </c>
      <c r="E31" s="131">
        <f>SUMIF(Org!$C$8:Org!$C$433,416300,Org!G$8:Org!G$433)</f>
        <v>312500</v>
      </c>
      <c r="F31" s="398">
        <f t="shared" si="0"/>
        <v>107.75862068965519</v>
      </c>
      <c r="G31" s="399">
        <f t="shared" si="1"/>
        <v>2.483235445079431</v>
      </c>
      <c r="H31" s="1"/>
    </row>
    <row r="32" spans="1:10" ht="16.5" customHeight="1">
      <c r="A32" s="232">
        <v>419000</v>
      </c>
      <c r="B32" s="121" t="s">
        <v>406</v>
      </c>
      <c r="C32" s="130">
        <f>SUM(C33)</f>
        <v>160000</v>
      </c>
      <c r="D32" s="130">
        <f>SUM(D33)</f>
        <v>-58100</v>
      </c>
      <c r="E32" s="130">
        <f>SUM(E33)</f>
        <v>101900</v>
      </c>
      <c r="F32" s="390">
        <f t="shared" si="0"/>
        <v>63.6875</v>
      </c>
      <c r="G32" s="385">
        <f t="shared" si="1"/>
        <v>0.8097334139315009</v>
      </c>
      <c r="H32" s="1"/>
      <c r="J32" s="1"/>
    </row>
    <row r="33" spans="1:8" ht="17.25" customHeight="1">
      <c r="A33" s="231">
        <v>419100</v>
      </c>
      <c r="B33" s="391" t="s">
        <v>406</v>
      </c>
      <c r="C33" s="131">
        <f>SUMIF(Org!$C$10:Org!$D$430,419100,Org!E$10:Org!E$431)</f>
        <v>160000</v>
      </c>
      <c r="D33" s="131">
        <f>SUMIF(Org!$C$10:Org!$D$430,419100,Org!F$10:Org!F$431)</f>
        <v>-58100</v>
      </c>
      <c r="E33" s="131">
        <f>SUMIF(Org!$C$8:Org!$C$433,419100,Org!G$8:Org!G$433)</f>
        <v>101900</v>
      </c>
      <c r="F33" s="398">
        <f t="shared" si="0"/>
        <v>63.6875</v>
      </c>
      <c r="G33" s="399">
        <f t="shared" si="1"/>
        <v>0.8097334139315009</v>
      </c>
      <c r="H33" s="1"/>
    </row>
    <row r="34" spans="1:10" ht="17.25" customHeight="1">
      <c r="A34" s="302">
        <v>480000</v>
      </c>
      <c r="B34" s="158" t="s">
        <v>429</v>
      </c>
      <c r="C34" s="225">
        <f>SUM(C35:C38)</f>
        <v>172000</v>
      </c>
      <c r="D34" s="225">
        <f>SUM(D35:D38)</f>
        <v>-3404.5</v>
      </c>
      <c r="E34" s="225">
        <f>SUM(E35:E38)</f>
        <v>168595.5</v>
      </c>
      <c r="F34" s="225">
        <f t="shared" si="0"/>
        <v>98.02063953488373</v>
      </c>
      <c r="G34" s="386">
        <f t="shared" si="1"/>
        <v>1.3397194287388454</v>
      </c>
      <c r="H34" s="1"/>
      <c r="J34" s="1"/>
    </row>
    <row r="35" spans="1:8" ht="17.25" customHeight="1">
      <c r="A35" s="417">
        <v>487200</v>
      </c>
      <c r="B35" s="418" t="s">
        <v>506</v>
      </c>
      <c r="C35" s="398">
        <v>0</v>
      </c>
      <c r="D35" s="131">
        <f>SUMIF(Org!$C$10:Org!$D$430,487200,Org!F$10:Org!F$431)</f>
        <v>2000</v>
      </c>
      <c r="E35" s="131">
        <f>SUMIF(Org!$C$8:Org!$C$433,487200,Org!G$8:Org!G$433)</f>
        <v>2000</v>
      </c>
      <c r="F35" s="398" t="e">
        <f t="shared" si="0"/>
        <v>#DIV/0!</v>
      </c>
      <c r="G35" s="399">
        <f t="shared" si="1"/>
        <v>0.01589270684850836</v>
      </c>
      <c r="H35" s="1"/>
    </row>
    <row r="36" spans="1:10" ht="17.25" customHeight="1">
      <c r="A36" s="417">
        <v>487300</v>
      </c>
      <c r="B36" s="418" t="s">
        <v>507</v>
      </c>
      <c r="C36" s="398">
        <v>0</v>
      </c>
      <c r="D36" s="131">
        <f>SUMIF(Org!$C$10:Org!$D$430,487300,Org!F$10:Org!F$431)</f>
        <v>2000</v>
      </c>
      <c r="E36" s="131">
        <f>SUMIF(Org!$C$8:Org!$C$433,487300,Org!G$8:Org!G$433)</f>
        <v>2000</v>
      </c>
      <c r="F36" s="398" t="e">
        <f t="shared" si="0"/>
        <v>#DIV/0!</v>
      </c>
      <c r="G36" s="399">
        <f t="shared" si="1"/>
        <v>0.01589270684850836</v>
      </c>
      <c r="H36" s="1"/>
      <c r="J36" s="1"/>
    </row>
    <row r="37" spans="1:8" ht="17.25" customHeight="1">
      <c r="A37" s="231">
        <v>487400</v>
      </c>
      <c r="B37" s="391" t="s">
        <v>428</v>
      </c>
      <c r="C37" s="131">
        <f>SUMIF(Org!$C$10:Org!$D$430,487400,Org!E$10:Org!E$431)</f>
        <v>154000</v>
      </c>
      <c r="D37" s="131">
        <f>SUMIF(Org!$C$10:Org!$D$430,487400,Org!F$10:Org!F$431)</f>
        <v>-17500</v>
      </c>
      <c r="E37" s="131">
        <f>SUMIF(Org!$C$8:Org!$C$433,487400,Org!G$8:Org!G$433)</f>
        <v>136500</v>
      </c>
      <c r="F37" s="398">
        <f t="shared" si="0"/>
        <v>88.63636363636364</v>
      </c>
      <c r="G37" s="399">
        <f t="shared" si="1"/>
        <v>1.0846772424106956</v>
      </c>
      <c r="H37" s="1"/>
    </row>
    <row r="38" spans="1:8" ht="17.25" customHeight="1">
      <c r="A38" s="231">
        <v>487900</v>
      </c>
      <c r="B38" s="391" t="s">
        <v>445</v>
      </c>
      <c r="C38" s="131">
        <f>SUMIF(Org!$C$10:Org!$D$430,487900,Org!E$10:Org!E$431)</f>
        <v>18000</v>
      </c>
      <c r="D38" s="131">
        <f>SUMIF(Org!$C$10:Org!$D$430,487900,Org!F$10:Org!F$431)</f>
        <v>10095.5</v>
      </c>
      <c r="E38" s="131">
        <f>SUMIF(Org!$C$8:Org!$C$433,487900,Org!G$8:Org!G$433)</f>
        <v>28095.5</v>
      </c>
      <c r="F38" s="398">
        <f t="shared" si="0"/>
        <v>156.0861111111111</v>
      </c>
      <c r="G38" s="399">
        <f t="shared" si="1"/>
        <v>0.2232567726311333</v>
      </c>
      <c r="H38" s="1"/>
    </row>
    <row r="39" spans="1:9" ht="21.75" customHeight="1">
      <c r="A39" s="302" t="s">
        <v>224</v>
      </c>
      <c r="B39" s="392" t="s">
        <v>408</v>
      </c>
      <c r="C39" s="225">
        <f>Org!E431</f>
        <v>160000</v>
      </c>
      <c r="D39" s="225">
        <f>Org!F431</f>
        <v>-146756.1</v>
      </c>
      <c r="E39" s="225">
        <f>Org!G431</f>
        <v>13243.9</v>
      </c>
      <c r="F39" s="225">
        <f t="shared" si="0"/>
        <v>8.2774375</v>
      </c>
      <c r="G39" s="386">
        <f t="shared" si="1"/>
        <v>0.10524071011547992</v>
      </c>
      <c r="H39" s="1"/>
      <c r="I39" s="1"/>
    </row>
    <row r="40" spans="1:8" ht="17.25" customHeight="1">
      <c r="A40" s="235">
        <v>510000</v>
      </c>
      <c r="B40" s="303" t="s">
        <v>439</v>
      </c>
      <c r="C40" s="190">
        <f>C41+C46+C48</f>
        <v>1327700</v>
      </c>
      <c r="D40" s="190">
        <f>D41+D46+D48</f>
        <v>95277.19</v>
      </c>
      <c r="E40" s="190">
        <f>E41+E46+E48</f>
        <v>1422977.19</v>
      </c>
      <c r="F40" s="190">
        <f t="shared" si="0"/>
        <v>107.1761083075996</v>
      </c>
      <c r="G40" s="189">
        <f t="shared" si="1"/>
        <v>11.307479666392089</v>
      </c>
      <c r="H40" s="1"/>
    </row>
    <row r="41" spans="1:10" ht="15.75" customHeight="1">
      <c r="A41" s="232">
        <v>511000</v>
      </c>
      <c r="B41" s="128" t="s">
        <v>165</v>
      </c>
      <c r="C41" s="130">
        <f>SUM(C42:C45)</f>
        <v>1262200</v>
      </c>
      <c r="D41" s="130">
        <f>SUM(D42:D45)</f>
        <v>39723.19</v>
      </c>
      <c r="E41" s="130">
        <f>SUM(E42:E45)</f>
        <v>1301923.19</v>
      </c>
      <c r="F41" s="390">
        <f t="shared" si="0"/>
        <v>103.14713912216764</v>
      </c>
      <c r="G41" s="385">
        <f t="shared" si="1"/>
        <v>10.345541798972423</v>
      </c>
      <c r="H41" s="1"/>
      <c r="J41" s="1"/>
    </row>
    <row r="42" spans="1:8" ht="12.75" customHeight="1">
      <c r="A42" s="234">
        <v>511100</v>
      </c>
      <c r="B42" s="393" t="s">
        <v>166</v>
      </c>
      <c r="C42" s="134">
        <f>SUMIF(Org!$C$10:Org!$D$430,511100,Org!E$10:Org!E$430)</f>
        <v>170000</v>
      </c>
      <c r="D42" s="134">
        <f>SUMIF(Org!$C$10:Org!$D$430,511100,Org!F$10:Org!F$430)</f>
        <v>-125531.48</v>
      </c>
      <c r="E42" s="134">
        <f>SUMIF(Org!$C$8:Org!$D$433,511100,Org!G$8:Org!G$433)</f>
        <v>44468.52</v>
      </c>
      <c r="F42" s="398">
        <f t="shared" si="0"/>
        <v>26.15795294117647</v>
      </c>
      <c r="G42" s="399">
        <f t="shared" si="1"/>
        <v>0.35336257617351546</v>
      </c>
      <c r="H42" s="1"/>
    </row>
    <row r="43" spans="1:8" ht="27" customHeight="1">
      <c r="A43" s="231">
        <v>511200</v>
      </c>
      <c r="B43" s="129" t="s">
        <v>167</v>
      </c>
      <c r="C43" s="134">
        <f>SUMIF(Org!$C$10:Org!$D$430,511200,Org!E$10:Org!E430)</f>
        <v>899000</v>
      </c>
      <c r="D43" s="134">
        <f>SUMIF(Org!$C$10:Org!$D$430,511200,Org!F$10:Org!F430)</f>
        <v>118778.67</v>
      </c>
      <c r="E43" s="134">
        <f>SUMIF(Org!$C$8:Org!$D$433,511200,Org!G$8:Org!G$433)</f>
        <v>1017778.67</v>
      </c>
      <c r="F43" s="398">
        <f t="shared" si="0"/>
        <v>113.2123103448276</v>
      </c>
      <c r="G43" s="399">
        <f t="shared" si="1"/>
        <v>8.087629019487364</v>
      </c>
      <c r="H43" s="1"/>
    </row>
    <row r="44" spans="1:8" ht="12.75" customHeight="1">
      <c r="A44" s="231">
        <v>511300</v>
      </c>
      <c r="B44" s="394" t="s">
        <v>168</v>
      </c>
      <c r="C44" s="134">
        <f>SUMIF(Org!$C$10:Org!$D$430,511300,Org!E$10:Org!E$430)</f>
        <v>163200</v>
      </c>
      <c r="D44" s="134">
        <f>SUMIF(Org!$C$10:Org!$D$430,511300,Org!F$10:Org!F$430)</f>
        <v>58189.5</v>
      </c>
      <c r="E44" s="134">
        <f>SUMIF(Org!$C$8:Org!$D$433,511300,Org!G$8:Org!G$433)</f>
        <v>221389.5</v>
      </c>
      <c r="F44" s="398">
        <f t="shared" si="0"/>
        <v>135.65533088235293</v>
      </c>
      <c r="G44" s="399">
        <f t="shared" si="1"/>
        <v>1.7592392114189208</v>
      </c>
      <c r="H44" s="1"/>
    </row>
    <row r="45" spans="1:8" ht="12.75" customHeight="1">
      <c r="A45" s="231">
        <v>511400</v>
      </c>
      <c r="B45" s="394" t="s">
        <v>268</v>
      </c>
      <c r="C45" s="134">
        <f>SUMIF(Org!$C$10:Org!$D$430,511400,Org!E$10:Org!E$430)</f>
        <v>30000</v>
      </c>
      <c r="D45" s="134">
        <f>SUMIF(Org!$C$10:Org!$D$430,511400,Org!F$10:Org!F$430)</f>
        <v>-11713.5</v>
      </c>
      <c r="E45" s="134">
        <f>SUMIF(Org!$C$8:Org!$D$433,511400,Org!G$8:Org!G$433)</f>
        <v>18286.5</v>
      </c>
      <c r="F45" s="398">
        <f t="shared" si="0"/>
        <v>60.955000000000005</v>
      </c>
      <c r="G45" s="399">
        <f t="shared" si="1"/>
        <v>0.14531099189262406</v>
      </c>
      <c r="H45" s="1"/>
    </row>
    <row r="46" spans="1:10" ht="15.75" customHeight="1">
      <c r="A46" s="395">
        <v>513000</v>
      </c>
      <c r="B46" s="128" t="s">
        <v>192</v>
      </c>
      <c r="C46" s="130">
        <f>SUM(C47)</f>
        <v>50000</v>
      </c>
      <c r="D46" s="130">
        <f>SUM(D47)</f>
        <v>57000</v>
      </c>
      <c r="E46" s="130">
        <f>SUM(E47)</f>
        <v>107000</v>
      </c>
      <c r="F46" s="390">
        <f t="shared" si="0"/>
        <v>214</v>
      </c>
      <c r="G46" s="385">
        <f t="shared" si="1"/>
        <v>0.8502598163951972</v>
      </c>
      <c r="H46" s="1"/>
      <c r="J46" s="1"/>
    </row>
    <row r="47" spans="1:8" ht="12.75" customHeight="1">
      <c r="A47" s="231">
        <v>513100</v>
      </c>
      <c r="B47" s="394" t="s">
        <v>193</v>
      </c>
      <c r="C47" s="134">
        <f>SUMIF(Org!$C$10:Org!$D$430,513100,Org!E$10:Org!E$430)</f>
        <v>50000</v>
      </c>
      <c r="D47" s="134">
        <f>SUMIF(Org!$C$10:Org!$D$430,513100,Org!F$10:Org!F$430)</f>
        <v>57000</v>
      </c>
      <c r="E47" s="134">
        <f>SUMIF(Org!$C$8:Org!$C$433,513100,Org!G$8:Org!G$433)</f>
        <v>107000</v>
      </c>
      <c r="F47" s="398">
        <f t="shared" si="0"/>
        <v>214</v>
      </c>
      <c r="G47" s="399">
        <f t="shared" si="1"/>
        <v>0.8502598163951972</v>
      </c>
      <c r="H47" s="1"/>
    </row>
    <row r="48" spans="1:10" ht="28.5" customHeight="1">
      <c r="A48" s="395">
        <v>516000</v>
      </c>
      <c r="B48" s="396" t="s">
        <v>352</v>
      </c>
      <c r="C48" s="130">
        <f>SUM(C49)</f>
        <v>15500</v>
      </c>
      <c r="D48" s="130">
        <f>SUM(D49)</f>
        <v>-1446</v>
      </c>
      <c r="E48" s="130">
        <f>SUM(E49)</f>
        <v>14054</v>
      </c>
      <c r="F48" s="390">
        <f t="shared" si="0"/>
        <v>90.67096774193548</v>
      </c>
      <c r="G48" s="385">
        <f t="shared" si="1"/>
        <v>0.11167805102446823</v>
      </c>
      <c r="H48" s="1"/>
      <c r="J48" s="1"/>
    </row>
    <row r="49" spans="1:8" ht="24.75" customHeight="1">
      <c r="A49" s="231">
        <v>516100</v>
      </c>
      <c r="B49" s="129" t="s">
        <v>352</v>
      </c>
      <c r="C49" s="134">
        <f>SUMIF(Org!$C$10:Org!$D$430,516100,Org!E$10:Org!E$430)</f>
        <v>15500</v>
      </c>
      <c r="D49" s="134">
        <f>SUMIF(Org!$C$10:Org!$D$430,516100,Org!F$10:Org!F$430)</f>
        <v>-1446</v>
      </c>
      <c r="E49" s="134">
        <f>SUMIF(Org!$C$8:Org!$C$433,516100,Org!G$8:Org!G$433)</f>
        <v>14054</v>
      </c>
      <c r="F49" s="398">
        <f t="shared" si="0"/>
        <v>90.67096774193548</v>
      </c>
      <c r="G49" s="399">
        <f t="shared" si="1"/>
        <v>0.11167805102446823</v>
      </c>
      <c r="H49" s="1"/>
    </row>
    <row r="50" spans="1:10" ht="31.5" customHeight="1" thickBot="1">
      <c r="A50" s="262"/>
      <c r="B50" s="210" t="s">
        <v>327</v>
      </c>
      <c r="C50" s="397">
        <f>C4+C40</f>
        <v>12549600</v>
      </c>
      <c r="D50" s="397">
        <f>D4+D40</f>
        <v>34788.669999999984</v>
      </c>
      <c r="E50" s="397">
        <f>E4+E40</f>
        <v>12584388.67</v>
      </c>
      <c r="F50" s="397">
        <f t="shared" si="0"/>
        <v>100.27720939312808</v>
      </c>
      <c r="G50" s="191">
        <f t="shared" si="1"/>
        <v>100</v>
      </c>
      <c r="H50" s="1"/>
      <c r="J50" s="93"/>
    </row>
    <row r="51" spans="1:8" ht="12.75" customHeight="1" thickTop="1">
      <c r="A51" s="16"/>
      <c r="B51" s="16"/>
      <c r="C51" s="16"/>
      <c r="D51" s="16"/>
      <c r="E51" s="16"/>
      <c r="F51" s="16"/>
      <c r="G51" s="16"/>
      <c r="H51" s="1"/>
    </row>
    <row r="52" spans="1:8" ht="12" customHeight="1">
      <c r="A52" s="16"/>
      <c r="B52" s="16"/>
      <c r="C52" s="1"/>
      <c r="D52" s="1"/>
      <c r="E52" s="1"/>
      <c r="F52" s="1"/>
      <c r="G52" s="17"/>
      <c r="H52" s="1"/>
    </row>
    <row r="53" spans="1:8" ht="12.75" customHeight="1" hidden="1">
      <c r="A53" s="16"/>
      <c r="B53" s="364" t="s">
        <v>463</v>
      </c>
      <c r="C53" s="17"/>
      <c r="D53" s="17"/>
      <c r="E53" s="17">
        <f>SUM(E54:E55)</f>
        <v>1228611.33</v>
      </c>
      <c r="F53" s="17"/>
      <c r="G53" s="16"/>
      <c r="H53" s="1"/>
    </row>
    <row r="54" spans="1:8" ht="12.75" customHeight="1" hidden="1">
      <c r="A54" s="16"/>
      <c r="B54" s="358" t="s">
        <v>169</v>
      </c>
      <c r="C54" s="17">
        <f>Finansiranje!C14</f>
        <v>656500</v>
      </c>
      <c r="D54" s="17">
        <f>Finansiranje!D14</f>
        <v>-29075</v>
      </c>
      <c r="E54" s="17">
        <f>Finansiranje!E14</f>
        <v>627425</v>
      </c>
      <c r="F54" s="17">
        <f>E54/C54*100</f>
        <v>95.57121096725058</v>
      </c>
      <c r="G54" s="16"/>
      <c r="H54" s="1"/>
    </row>
    <row r="55" spans="2:8" ht="12.75" customHeight="1" hidden="1">
      <c r="B55" s="358" t="s">
        <v>415</v>
      </c>
      <c r="C55" s="1">
        <f>Finansiranje!C23</f>
        <v>581400</v>
      </c>
      <c r="D55" s="1">
        <f>Finansiranje!D23</f>
        <v>19786.33</v>
      </c>
      <c r="E55" s="1">
        <f>Finansiranje!E23</f>
        <v>601186.33</v>
      </c>
      <c r="F55" s="17">
        <f>E55/C55*100</f>
        <v>103.40322153422773</v>
      </c>
      <c r="H55" s="1"/>
    </row>
    <row r="56" spans="2:8" ht="12.75" customHeight="1" hidden="1">
      <c r="B56" s="237" t="s">
        <v>539</v>
      </c>
      <c r="C56" s="294">
        <f>SUM(C50:C55)</f>
        <v>13787500</v>
      </c>
      <c r="D56" s="294">
        <f>SUM(D50:D55)</f>
        <v>25499.999999999985</v>
      </c>
      <c r="E56" s="294">
        <f>E50+E53</f>
        <v>13813000</v>
      </c>
      <c r="F56" s="17">
        <f>E56/C56*100</f>
        <v>100.18495013599275</v>
      </c>
      <c r="H56" s="1"/>
    </row>
    <row r="57" spans="3:6" ht="12.75" customHeight="1">
      <c r="C57" s="294"/>
      <c r="D57" s="294"/>
      <c r="E57" s="294"/>
      <c r="F57" s="294"/>
    </row>
    <row r="58" ht="12.75" customHeight="1">
      <c r="E58" s="1"/>
    </row>
    <row r="59" spans="3:6" ht="12.75" customHeight="1">
      <c r="C59" s="1"/>
      <c r="D59" s="1"/>
      <c r="E59" s="1"/>
      <c r="F59" s="1"/>
    </row>
    <row r="60" spans="4:5" ht="12.75" customHeight="1">
      <c r="D60" s="1"/>
      <c r="E60" s="1"/>
    </row>
    <row r="61" ht="12.75" customHeight="1">
      <c r="E61" s="1"/>
    </row>
    <row r="64" ht="12.75" customHeight="1">
      <c r="E64" s="1"/>
    </row>
  </sheetData>
  <sheetProtection/>
  <mergeCells count="1">
    <mergeCell ref="A1:G1"/>
  </mergeCells>
  <printOptions horizontalCentered="1"/>
  <pageMargins left="0.15748031496062992" right="0.15748031496062992" top="0.5118110236220472" bottom="0.5118110236220472" header="0.3937007874015748" footer="0.1968503937007874"/>
  <pageSetup horizontalDpi="600" verticalDpi="600" orientation="landscape" paperSize="9" scale="99" r:id="rId1"/>
  <headerFooter alignWithMargins="0">
    <oddFooter>&amp;R&amp;P</oddFooter>
  </headerFooter>
  <rowBreaks count="3" manualBreakCount="3">
    <brk id="27" max="12" man="1"/>
    <brk id="48" max="12" man="1"/>
    <brk id="5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35"/>
  <sheetViews>
    <sheetView zoomScale="90" zoomScaleNormal="90" zoomScalePageLayoutView="0" workbookViewId="0" topLeftCell="A1">
      <pane ySplit="3" topLeftCell="A33" activePane="bottomLeft" state="frozen"/>
      <selection pane="topLeft" activeCell="A1" sqref="A1"/>
      <selection pane="bottomLeft" activeCell="A39" sqref="A39:IV39"/>
    </sheetView>
  </sheetViews>
  <sheetFormatPr defaultColWidth="9.140625" defaultRowHeight="12.75"/>
  <cols>
    <col min="1" max="1" width="12.8515625" style="0" customWidth="1"/>
    <col min="2" max="2" width="72.140625" style="0" customWidth="1"/>
    <col min="3" max="3" width="18.00390625" style="0" customWidth="1"/>
    <col min="4" max="4" width="16.7109375" style="0" customWidth="1"/>
    <col min="5" max="5" width="16.140625" style="0" customWidth="1"/>
    <col min="6" max="6" width="15.140625" style="0" customWidth="1"/>
    <col min="7" max="7" width="14.28125" style="0" hidden="1" customWidth="1"/>
  </cols>
  <sheetData>
    <row r="1" spans="1:5" ht="39.75" customHeight="1" thickBot="1">
      <c r="A1" s="485" t="s">
        <v>477</v>
      </c>
      <c r="B1" s="485"/>
      <c r="C1" s="485"/>
      <c r="D1" s="485"/>
      <c r="E1" s="485"/>
    </row>
    <row r="2" spans="1:5" ht="18.75" customHeight="1" thickTop="1">
      <c r="A2" s="501" t="s">
        <v>64</v>
      </c>
      <c r="B2" s="494" t="s">
        <v>237</v>
      </c>
      <c r="C2" s="490" t="s">
        <v>484</v>
      </c>
      <c r="D2" s="494" t="s">
        <v>521</v>
      </c>
      <c r="E2" s="499" t="s">
        <v>483</v>
      </c>
    </row>
    <row r="3" spans="1:5" ht="60" customHeight="1">
      <c r="A3" s="502"/>
      <c r="B3" s="495"/>
      <c r="C3" s="491"/>
      <c r="D3" s="495"/>
      <c r="E3" s="500"/>
    </row>
    <row r="4" spans="1:5" s="5" customFormat="1" ht="12.75" customHeight="1">
      <c r="A4" s="117">
        <v>1</v>
      </c>
      <c r="B4" s="152">
        <v>2</v>
      </c>
      <c r="C4" s="113">
        <v>3</v>
      </c>
      <c r="D4" s="113" t="s">
        <v>488</v>
      </c>
      <c r="E4" s="289">
        <v>5</v>
      </c>
    </row>
    <row r="5" spans="1:5" ht="12.75">
      <c r="A5" s="187"/>
      <c r="B5" s="209"/>
      <c r="C5" s="227"/>
      <c r="D5" s="227"/>
      <c r="E5" s="295"/>
    </row>
    <row r="6" spans="1:7" ht="29.25" customHeight="1">
      <c r="A6" s="327"/>
      <c r="B6" s="328" t="s">
        <v>323</v>
      </c>
      <c r="C6" s="329">
        <f>C7-C9</f>
        <v>0</v>
      </c>
      <c r="D6" s="329">
        <f>D7-D9</f>
        <v>0</v>
      </c>
      <c r="E6" s="330">
        <f>E7-E9</f>
        <v>0</v>
      </c>
      <c r="F6" s="1"/>
      <c r="G6" s="1"/>
    </row>
    <row r="7" spans="1:6" ht="16.5" customHeight="1">
      <c r="A7" s="331">
        <v>910000</v>
      </c>
      <c r="B7" s="332" t="s">
        <v>315</v>
      </c>
      <c r="C7" s="333">
        <f>SUM(C8)</f>
        <v>0</v>
      </c>
      <c r="D7" s="333">
        <f>SUM(D8)</f>
        <v>0</v>
      </c>
      <c r="E7" s="334">
        <f>SUM(E8)</f>
        <v>0</v>
      </c>
      <c r="F7" s="1"/>
    </row>
    <row r="8" spans="1:6" ht="18" customHeight="1">
      <c r="A8" s="335">
        <v>911000</v>
      </c>
      <c r="B8" s="336" t="s">
        <v>316</v>
      </c>
      <c r="C8" s="337">
        <v>0</v>
      </c>
      <c r="D8" s="361">
        <f>E8-C8</f>
        <v>0</v>
      </c>
      <c r="E8" s="338">
        <v>0</v>
      </c>
      <c r="F8" s="1"/>
    </row>
    <row r="9" spans="1:6" ht="18" customHeight="1">
      <c r="A9" s="331">
        <v>610000</v>
      </c>
      <c r="B9" s="332" t="s">
        <v>317</v>
      </c>
      <c r="C9" s="333">
        <f>SUM(C10)</f>
        <v>0</v>
      </c>
      <c r="D9" s="333">
        <f>SUM(D10)</f>
        <v>0</v>
      </c>
      <c r="E9" s="334">
        <f>SUM(E10)</f>
        <v>0</v>
      </c>
      <c r="F9" s="1"/>
    </row>
    <row r="10" spans="1:6" ht="17.25" customHeight="1">
      <c r="A10" s="335">
        <v>611000</v>
      </c>
      <c r="B10" s="336" t="s">
        <v>318</v>
      </c>
      <c r="C10" s="337">
        <v>0</v>
      </c>
      <c r="D10" s="361">
        <f>E10-C10</f>
        <v>0</v>
      </c>
      <c r="E10" s="338">
        <v>0</v>
      </c>
      <c r="F10" s="1"/>
    </row>
    <row r="11" spans="1:6" ht="15.75" customHeight="1">
      <c r="A11" s="335"/>
      <c r="B11" s="328" t="s">
        <v>348</v>
      </c>
      <c r="C11" s="329">
        <f>C12-C14</f>
        <v>-656500</v>
      </c>
      <c r="D11" s="329">
        <f>D12-D14</f>
        <v>29075</v>
      </c>
      <c r="E11" s="330">
        <f>E12-E14</f>
        <v>-627425</v>
      </c>
      <c r="F11" s="1"/>
    </row>
    <row r="12" spans="1:6" ht="18" customHeight="1">
      <c r="A12" s="331">
        <v>920000</v>
      </c>
      <c r="B12" s="332" t="s">
        <v>324</v>
      </c>
      <c r="C12" s="333">
        <f>C13</f>
        <v>0</v>
      </c>
      <c r="D12" s="333">
        <f>SUM(D13)</f>
        <v>0</v>
      </c>
      <c r="E12" s="334">
        <f>E13</f>
        <v>0</v>
      </c>
      <c r="F12" s="1"/>
    </row>
    <row r="13" spans="1:6" ht="17.25" customHeight="1">
      <c r="A13" s="335">
        <v>921200</v>
      </c>
      <c r="B13" s="339" t="s">
        <v>371</v>
      </c>
      <c r="C13" s="340">
        <v>0</v>
      </c>
      <c r="D13" s="362">
        <f>E13-C13</f>
        <v>0</v>
      </c>
      <c r="E13" s="341">
        <v>0</v>
      </c>
      <c r="F13" s="1"/>
    </row>
    <row r="14" spans="1:6" ht="17.25" customHeight="1">
      <c r="A14" s="331">
        <v>620000</v>
      </c>
      <c r="B14" s="332" t="s">
        <v>322</v>
      </c>
      <c r="C14" s="333">
        <f>SUM(C15:C16)</f>
        <v>656500</v>
      </c>
      <c r="D14" s="333">
        <f>SUM(D15:D16)</f>
        <v>-29075</v>
      </c>
      <c r="E14" s="334">
        <f>SUM(E15:E16)</f>
        <v>627425</v>
      </c>
      <c r="F14" s="1"/>
    </row>
    <row r="15" spans="1:6" ht="12.75">
      <c r="A15" s="342">
        <v>621300</v>
      </c>
      <c r="B15" s="129" t="s">
        <v>177</v>
      </c>
      <c r="C15" s="343">
        <f>SUMIF(Org!$C$10:$D$424,621300,Org!E$10:E$424)</f>
        <v>631500</v>
      </c>
      <c r="D15" s="343">
        <f>E15-C15</f>
        <v>-4075</v>
      </c>
      <c r="E15" s="406">
        <f>SUMIF(Org!$C$8:Org!$C$433,621300,Org!G$8:Org!G$433)</f>
        <v>627425</v>
      </c>
      <c r="F15" s="1"/>
    </row>
    <row r="16" spans="1:6" ht="15.75" customHeight="1">
      <c r="A16" s="342">
        <v>621900</v>
      </c>
      <c r="B16" s="129" t="s">
        <v>374</v>
      </c>
      <c r="C16" s="343">
        <f>SUMIF(Org!$C$10:$D$424,621900,Org!E$10:E$424)</f>
        <v>25000</v>
      </c>
      <c r="D16" s="343">
        <f>E16-C16</f>
        <v>-25000</v>
      </c>
      <c r="E16" s="407">
        <f>SUMIF(Org!$C$8:Org!$C$433,621900,Org!G$8:Org!G$433)</f>
        <v>0</v>
      </c>
      <c r="F16" s="1"/>
    </row>
    <row r="17" spans="1:6" ht="15.75" customHeight="1">
      <c r="A17" s="342"/>
      <c r="B17" s="328" t="s">
        <v>431</v>
      </c>
      <c r="C17" s="329">
        <f>C18-C23</f>
        <v>-516600</v>
      </c>
      <c r="D17" s="329">
        <f>D18-D23</f>
        <v>-35586.33</v>
      </c>
      <c r="E17" s="330">
        <f>E18-E23</f>
        <v>-552186.33</v>
      </c>
      <c r="F17" s="1"/>
    </row>
    <row r="18" spans="1:6" ht="15.75" customHeight="1">
      <c r="A18" s="331">
        <v>930000</v>
      </c>
      <c r="B18" s="332" t="s">
        <v>432</v>
      </c>
      <c r="C18" s="333">
        <f>C19+C20</f>
        <v>64800</v>
      </c>
      <c r="D18" s="360">
        <f>D19+D20</f>
        <v>-15800</v>
      </c>
      <c r="E18" s="334">
        <f>E19+E20</f>
        <v>49000</v>
      </c>
      <c r="F18" s="1"/>
    </row>
    <row r="19" spans="1:6" ht="15.75" customHeight="1">
      <c r="A19" s="331">
        <v>931000</v>
      </c>
      <c r="B19" s="408" t="s">
        <v>500</v>
      </c>
      <c r="C19" s="409">
        <v>0</v>
      </c>
      <c r="D19" s="410">
        <v>0</v>
      </c>
      <c r="E19" s="411">
        <v>0</v>
      </c>
      <c r="F19" s="1"/>
    </row>
    <row r="20" spans="1:6" ht="25.5">
      <c r="A20" s="331">
        <v>938000</v>
      </c>
      <c r="B20" s="408" t="s">
        <v>499</v>
      </c>
      <c r="C20" s="409">
        <f>SUM(C21:C22)</f>
        <v>64800</v>
      </c>
      <c r="D20" s="410">
        <f>SUM(D21:D22)</f>
        <v>-15800</v>
      </c>
      <c r="E20" s="411">
        <f>SUM(E21:E22)</f>
        <v>49000</v>
      </c>
      <c r="F20" s="1"/>
    </row>
    <row r="21" spans="1:7" ht="38.25">
      <c r="A21" s="342">
        <v>938100</v>
      </c>
      <c r="B21" s="345" t="s">
        <v>434</v>
      </c>
      <c r="C21" s="340">
        <v>64800</v>
      </c>
      <c r="D21" s="362">
        <f>E21-C21</f>
        <v>-16800</v>
      </c>
      <c r="E21" s="341">
        <v>48000</v>
      </c>
      <c r="F21" s="1"/>
      <c r="G21">
        <v>9000</v>
      </c>
    </row>
    <row r="22" spans="1:6" ht="25.5">
      <c r="A22" s="342">
        <v>938100</v>
      </c>
      <c r="B22" s="345" t="s">
        <v>496</v>
      </c>
      <c r="C22" s="340">
        <v>0</v>
      </c>
      <c r="D22" s="362">
        <f>E22-C22</f>
        <v>1000</v>
      </c>
      <c r="E22" s="341">
        <v>1000</v>
      </c>
      <c r="F22" s="1"/>
    </row>
    <row r="23" spans="1:6" ht="15.75" customHeight="1">
      <c r="A23" s="331">
        <v>630000</v>
      </c>
      <c r="B23" s="332" t="s">
        <v>433</v>
      </c>
      <c r="C23" s="333">
        <f>C24+C27</f>
        <v>581400</v>
      </c>
      <c r="D23" s="360">
        <f>D24+D27</f>
        <v>19786.33</v>
      </c>
      <c r="E23" s="334">
        <f>E24+E27</f>
        <v>601186.33</v>
      </c>
      <c r="F23" s="1"/>
    </row>
    <row r="24" spans="1:7" ht="15.75" customHeight="1">
      <c r="A24" s="331">
        <v>631000</v>
      </c>
      <c r="B24" s="408" t="s">
        <v>415</v>
      </c>
      <c r="C24" s="409">
        <f>SUM(C25)</f>
        <v>517000</v>
      </c>
      <c r="D24" s="409">
        <f>SUM(D25:D26)</f>
        <v>10000</v>
      </c>
      <c r="E24" s="412">
        <f>SUM(E25:E26)</f>
        <v>527000</v>
      </c>
      <c r="F24" s="1"/>
      <c r="G24" s="1"/>
    </row>
    <row r="25" spans="1:6" ht="12.75">
      <c r="A25" s="342">
        <v>631900</v>
      </c>
      <c r="B25" s="345" t="s">
        <v>372</v>
      </c>
      <c r="C25" s="340">
        <f>SUMIF(Org!$C$10:$D$424,631900,Org!E$10:E$424)</f>
        <v>517000</v>
      </c>
      <c r="D25" s="340">
        <f>E25-C25</f>
        <v>0</v>
      </c>
      <c r="E25" s="405">
        <f>Org!G424</f>
        <v>517000</v>
      </c>
      <c r="F25" s="1"/>
    </row>
    <row r="26" spans="1:6" ht="24">
      <c r="A26" s="342">
        <v>631900</v>
      </c>
      <c r="B26" s="31" t="s">
        <v>516</v>
      </c>
      <c r="C26" s="340">
        <v>0</v>
      </c>
      <c r="D26" s="340">
        <f>E26-C26</f>
        <v>10000</v>
      </c>
      <c r="E26" s="405">
        <f>Org!G423</f>
        <v>10000</v>
      </c>
      <c r="F26" s="1"/>
    </row>
    <row r="27" spans="1:6" ht="25.5" customHeight="1">
      <c r="A27" s="416">
        <v>638000</v>
      </c>
      <c r="B27" s="413" t="s">
        <v>422</v>
      </c>
      <c r="C27" s="414">
        <f>SUM(C28)</f>
        <v>64400</v>
      </c>
      <c r="D27" s="414">
        <f>SUM(D28:D29)</f>
        <v>9786.330000000002</v>
      </c>
      <c r="E27" s="415">
        <f>SUM(E28:E29)</f>
        <v>74186.33</v>
      </c>
      <c r="F27" s="1"/>
    </row>
    <row r="28" spans="1:7" ht="25.5">
      <c r="A28" s="342">
        <v>638100</v>
      </c>
      <c r="B28" s="129" t="s">
        <v>423</v>
      </c>
      <c r="C28" s="340">
        <f>SUMIF(Org!$C$10:$D$426,638100,Org!E$10:E$426)</f>
        <v>64400</v>
      </c>
      <c r="D28" s="340">
        <f>E28-C28</f>
        <v>8286.330000000002</v>
      </c>
      <c r="E28" s="341">
        <f>Org!G74+Org!G295+Org!G360+Org!G386</f>
        <v>72686.33</v>
      </c>
      <c r="F28" s="1"/>
      <c r="G28" s="1"/>
    </row>
    <row r="29" spans="1:6" ht="25.5">
      <c r="A29" s="342">
        <v>638100</v>
      </c>
      <c r="B29" s="179" t="s">
        <v>520</v>
      </c>
      <c r="C29" s="340">
        <v>0</v>
      </c>
      <c r="D29" s="340">
        <f>E29-C29</f>
        <v>1500</v>
      </c>
      <c r="E29" s="341">
        <f>Org!G426</f>
        <v>1500</v>
      </c>
      <c r="F29" s="1"/>
    </row>
    <row r="30" spans="1:6" ht="27.75" customHeight="1">
      <c r="A30" s="331"/>
      <c r="B30" s="328" t="s">
        <v>436</v>
      </c>
      <c r="C30" s="329">
        <f>SUM(C31:C34)</f>
        <v>120000</v>
      </c>
      <c r="D30" s="359">
        <f>SUM(D31:D34)</f>
        <v>-120000</v>
      </c>
      <c r="E30" s="330">
        <f>SUM(E31:E34)</f>
        <v>0</v>
      </c>
      <c r="F30" s="1"/>
    </row>
    <row r="31" spans="1:6" ht="25.5" hidden="1">
      <c r="A31" s="346" t="s">
        <v>370</v>
      </c>
      <c r="B31" s="347" t="s">
        <v>386</v>
      </c>
      <c r="C31" s="343">
        <v>0</v>
      </c>
      <c r="D31" s="363">
        <f>E31-C31</f>
        <v>0</v>
      </c>
      <c r="E31" s="344">
        <v>0</v>
      </c>
      <c r="F31" s="1"/>
    </row>
    <row r="32" spans="1:6" ht="25.5" hidden="1">
      <c r="A32" s="348" t="s">
        <v>370</v>
      </c>
      <c r="B32" s="349" t="s">
        <v>387</v>
      </c>
      <c r="C32" s="343">
        <v>0</v>
      </c>
      <c r="D32" s="363">
        <f>E32-C32</f>
        <v>0</v>
      </c>
      <c r="E32" s="344">
        <v>0</v>
      </c>
      <c r="F32" s="1"/>
    </row>
    <row r="33" spans="1:6" ht="25.5">
      <c r="A33" s="348" t="s">
        <v>370</v>
      </c>
      <c r="B33" s="349" t="s">
        <v>388</v>
      </c>
      <c r="C33" s="350">
        <v>50000</v>
      </c>
      <c r="D33" s="363">
        <f>E33-C33</f>
        <v>-50000</v>
      </c>
      <c r="E33" s="351">
        <v>0</v>
      </c>
      <c r="F33" s="1"/>
    </row>
    <row r="34" spans="1:6" ht="25.5">
      <c r="A34" s="348" t="s">
        <v>370</v>
      </c>
      <c r="B34" s="349" t="s">
        <v>389</v>
      </c>
      <c r="C34" s="350">
        <v>70000</v>
      </c>
      <c r="D34" s="363">
        <f>E34-C34</f>
        <v>-70000</v>
      </c>
      <c r="E34" s="351">
        <v>0</v>
      </c>
      <c r="F34" s="1"/>
    </row>
    <row r="35" spans="1:6" s="5" customFormat="1" ht="27.75" customHeight="1" thickBot="1">
      <c r="A35" s="352"/>
      <c r="B35" s="324" t="s">
        <v>435</v>
      </c>
      <c r="C35" s="325">
        <f>C6+C11+C17+C30</f>
        <v>-1053100</v>
      </c>
      <c r="D35" s="325">
        <f>D6+D11+D17+D30</f>
        <v>-126511.33</v>
      </c>
      <c r="E35" s="326">
        <f>E6+E11+E17+E30</f>
        <v>-1179611.33</v>
      </c>
      <c r="F35" s="1"/>
    </row>
    <row r="36" spans="1:2" ht="18" customHeight="1" thickTop="1">
      <c r="A36" s="161"/>
      <c r="B36" s="159"/>
    </row>
    <row r="37" spans="1:7" ht="18" customHeight="1" hidden="1">
      <c r="A37" s="3"/>
      <c r="B37" s="159" t="s">
        <v>501</v>
      </c>
      <c r="D37" s="1">
        <f>D7+D12+D18+D30</f>
        <v>-135800</v>
      </c>
      <c r="E37" s="1">
        <f>E7+E12+E18+E30</f>
        <v>49000</v>
      </c>
      <c r="G37" s="1"/>
    </row>
    <row r="38" spans="1:7" ht="14.25" customHeight="1" hidden="1">
      <c r="A38" s="3"/>
      <c r="B38" s="159" t="s">
        <v>502</v>
      </c>
      <c r="C38" s="1"/>
      <c r="D38" s="1">
        <f>D9+D14+D23+0</f>
        <v>-9288.669999999998</v>
      </c>
      <c r="E38" s="1">
        <f>E9+E14+E23+0</f>
        <v>1228611.33</v>
      </c>
      <c r="G38" s="1"/>
    </row>
    <row r="39" spans="1:7" ht="16.5" customHeight="1" hidden="1">
      <c r="A39" s="3"/>
      <c r="B39" s="404" t="s">
        <v>503</v>
      </c>
      <c r="D39" s="1">
        <f>D37-D38</f>
        <v>-126511.33</v>
      </c>
      <c r="E39" s="1">
        <f>E37-E38</f>
        <v>-1179611.33</v>
      </c>
      <c r="G39" s="1"/>
    </row>
    <row r="40" ht="16.5" customHeight="1">
      <c r="A40" s="4"/>
    </row>
    <row r="41" spans="1:5" ht="15.75" customHeight="1">
      <c r="A41" s="162"/>
      <c r="B41" s="162"/>
      <c r="E41" s="1"/>
    </row>
    <row r="42" spans="1:5" ht="12.75">
      <c r="A42" s="162"/>
      <c r="B42" s="162"/>
      <c r="E42" s="1"/>
    </row>
    <row r="43" spans="1:5" ht="17.25" customHeight="1">
      <c r="A43" s="162"/>
      <c r="B43" s="162"/>
      <c r="E43" s="1"/>
    </row>
    <row r="44" spans="1:2" ht="12.75">
      <c r="A44" s="162"/>
      <c r="B44" s="162"/>
    </row>
    <row r="45" spans="1:2" ht="12.75">
      <c r="A45" s="162"/>
      <c r="B45" s="162"/>
    </row>
    <row r="46" spans="1:2" ht="12.75">
      <c r="A46" s="162"/>
      <c r="B46" s="162"/>
    </row>
    <row r="47" spans="1:2" ht="23.25" customHeight="1">
      <c r="A47" s="162"/>
      <c r="B47" s="162"/>
    </row>
    <row r="48" spans="1:2" ht="16.5" customHeight="1">
      <c r="A48" s="162"/>
      <c r="B48" s="162"/>
    </row>
    <row r="49" spans="1:2" ht="12.75">
      <c r="A49" s="162"/>
      <c r="B49" s="162"/>
    </row>
    <row r="50" spans="1:2" ht="12.75">
      <c r="A50" s="162"/>
      <c r="B50" s="162"/>
    </row>
    <row r="51" spans="1:2" ht="15" customHeight="1">
      <c r="A51" s="162"/>
      <c r="B51" s="162"/>
    </row>
    <row r="52" spans="1:2" ht="12.75">
      <c r="A52" s="162"/>
      <c r="B52" s="162"/>
    </row>
    <row r="53" spans="1:2" ht="26.25" customHeight="1">
      <c r="A53" s="162"/>
      <c r="B53" s="162"/>
    </row>
    <row r="54" spans="1:2" ht="12.75">
      <c r="A54" s="162"/>
      <c r="B54" s="162"/>
    </row>
    <row r="55" spans="1:2" ht="12.75">
      <c r="A55" s="162"/>
      <c r="B55" s="162"/>
    </row>
    <row r="56" spans="1:2" ht="12.75">
      <c r="A56" s="162"/>
      <c r="B56" s="162"/>
    </row>
    <row r="57" spans="1:2" ht="12.75">
      <c r="A57" s="162"/>
      <c r="B57" s="162"/>
    </row>
    <row r="58" spans="1:2" ht="12.75">
      <c r="A58" s="162"/>
      <c r="B58" s="162"/>
    </row>
    <row r="59" spans="1:2" ht="12.75">
      <c r="A59" s="162"/>
      <c r="B59" s="162"/>
    </row>
    <row r="60" spans="1:2" ht="15.75" customHeight="1">
      <c r="A60" s="162"/>
      <c r="B60" s="162"/>
    </row>
    <row r="61" spans="1:2" ht="12.75">
      <c r="A61" s="162"/>
      <c r="B61" s="162"/>
    </row>
    <row r="62" spans="1:2" ht="12.75">
      <c r="A62" s="162"/>
      <c r="B62" s="162"/>
    </row>
    <row r="63" spans="1:2" ht="12.75">
      <c r="A63" s="162"/>
      <c r="B63" s="162"/>
    </row>
    <row r="64" spans="1:2" ht="12.75" customHeight="1">
      <c r="A64" s="162"/>
      <c r="B64" s="162"/>
    </row>
    <row r="65" spans="1:2" ht="12.75">
      <c r="A65" s="162"/>
      <c r="B65" s="162"/>
    </row>
    <row r="66" spans="1:2" s="160" customFormat="1" ht="11.25">
      <c r="A66" s="162"/>
      <c r="B66" s="162"/>
    </row>
    <row r="67" spans="1:2" s="160" customFormat="1" ht="11.25">
      <c r="A67" s="162"/>
      <c r="B67" s="162"/>
    </row>
    <row r="68" spans="1:2" s="160" customFormat="1" ht="11.25">
      <c r="A68" s="162"/>
      <c r="B68" s="162"/>
    </row>
    <row r="69" spans="1:2" s="160" customFormat="1" ht="11.25">
      <c r="A69" s="162"/>
      <c r="B69" s="162"/>
    </row>
    <row r="70" spans="1:2" s="160" customFormat="1" ht="11.25">
      <c r="A70" s="162"/>
      <c r="B70" s="162"/>
    </row>
    <row r="71" spans="1:2" s="160" customFormat="1" ht="11.25">
      <c r="A71" s="162"/>
      <c r="B71" s="162"/>
    </row>
    <row r="72" spans="1:2" s="160" customFormat="1" ht="11.25">
      <c r="A72" s="162"/>
      <c r="B72" s="162"/>
    </row>
    <row r="73" spans="1:2" s="160" customFormat="1" ht="11.25">
      <c r="A73" s="162"/>
      <c r="B73" s="162"/>
    </row>
    <row r="74" spans="1:2" s="160" customFormat="1" ht="11.25">
      <c r="A74" s="162"/>
      <c r="B74" s="162"/>
    </row>
    <row r="75" spans="1:2" s="160" customFormat="1" ht="11.25">
      <c r="A75" s="162"/>
      <c r="B75" s="162"/>
    </row>
    <row r="76" spans="1:2" s="160" customFormat="1" ht="11.25">
      <c r="A76" s="162"/>
      <c r="B76" s="162"/>
    </row>
    <row r="77" spans="1:2" s="160" customFormat="1" ht="11.25">
      <c r="A77" s="162"/>
      <c r="B77" s="162"/>
    </row>
    <row r="78" spans="1:2" s="160" customFormat="1" ht="11.25">
      <c r="A78" s="162"/>
      <c r="B78" s="162"/>
    </row>
    <row r="79" spans="1:2" s="160" customFormat="1" ht="11.25">
      <c r="A79" s="162"/>
      <c r="B79" s="162"/>
    </row>
    <row r="80" spans="1:2" s="160" customFormat="1" ht="11.25">
      <c r="A80" s="162"/>
      <c r="B80" s="162"/>
    </row>
    <row r="81" spans="1:2" s="160" customFormat="1" ht="11.25">
      <c r="A81" s="162"/>
      <c r="B81" s="162"/>
    </row>
    <row r="82" spans="1:2" s="160" customFormat="1" ht="11.25">
      <c r="A82" s="162"/>
      <c r="B82" s="162"/>
    </row>
    <row r="83" spans="1:2" s="160" customFormat="1" ht="11.25">
      <c r="A83" s="162"/>
      <c r="B83" s="162"/>
    </row>
    <row r="84" spans="1:2" s="160" customFormat="1" ht="11.25">
      <c r="A84" s="162"/>
      <c r="B84" s="162"/>
    </row>
    <row r="85" spans="1:2" s="160" customFormat="1" ht="11.25">
      <c r="A85" s="162"/>
      <c r="B85" s="162"/>
    </row>
    <row r="86" spans="1:2" s="160" customFormat="1" ht="11.25">
      <c r="A86" s="162"/>
      <c r="B86" s="162"/>
    </row>
    <row r="87" spans="1:2" s="160" customFormat="1" ht="11.25">
      <c r="A87" s="162"/>
      <c r="B87" s="162"/>
    </row>
    <row r="88" spans="1:2" s="160" customFormat="1" ht="11.25">
      <c r="A88" s="162"/>
      <c r="B88" s="162"/>
    </row>
    <row r="89" spans="1:2" s="160" customFormat="1" ht="11.25">
      <c r="A89" s="162"/>
      <c r="B89" s="162"/>
    </row>
    <row r="90" spans="1:2" s="160" customFormat="1" ht="11.25">
      <c r="A90" s="162"/>
      <c r="B90" s="162"/>
    </row>
    <row r="91" spans="1:2" s="160" customFormat="1" ht="11.25">
      <c r="A91" s="162"/>
      <c r="B91" s="162"/>
    </row>
    <row r="92" spans="1:2" s="160" customFormat="1" ht="11.25">
      <c r="A92" s="162"/>
      <c r="B92" s="162"/>
    </row>
    <row r="93" spans="1:2" s="160" customFormat="1" ht="11.25">
      <c r="A93" s="162"/>
      <c r="B93" s="162"/>
    </row>
    <row r="94" spans="1:2" s="160" customFormat="1" ht="11.25">
      <c r="A94" s="162"/>
      <c r="B94" s="162"/>
    </row>
    <row r="95" spans="1:2" s="160" customFormat="1" ht="11.25">
      <c r="A95" s="162"/>
      <c r="B95" s="162"/>
    </row>
    <row r="96" spans="1:2" s="160" customFormat="1" ht="11.25">
      <c r="A96" s="162"/>
      <c r="B96" s="162"/>
    </row>
    <row r="97" spans="1:2" s="160" customFormat="1" ht="11.25">
      <c r="A97" s="162"/>
      <c r="B97" s="162"/>
    </row>
    <row r="98" spans="1:2" ht="12.75">
      <c r="A98" s="162"/>
      <c r="B98" s="162"/>
    </row>
    <row r="99" spans="1:2" ht="12.75">
      <c r="A99" s="162"/>
      <c r="B99" s="162"/>
    </row>
    <row r="100" spans="1:2" ht="12.75">
      <c r="A100" s="162"/>
      <c r="B100" s="162"/>
    </row>
    <row r="101" spans="1:2" ht="12.75">
      <c r="A101" s="162"/>
      <c r="B101" s="162"/>
    </row>
    <row r="102" spans="1:2" ht="12.75">
      <c r="A102" s="162"/>
      <c r="B102" s="162"/>
    </row>
    <row r="103" spans="1:2" ht="12.75">
      <c r="A103" s="162"/>
      <c r="B103" s="162"/>
    </row>
    <row r="104" spans="1:2" ht="12.75">
      <c r="A104" s="162"/>
      <c r="B104" s="162"/>
    </row>
    <row r="105" spans="1:2" ht="12.75">
      <c r="A105" s="162"/>
      <c r="B105" s="162"/>
    </row>
    <row r="106" spans="1:2" ht="12.75">
      <c r="A106" s="162"/>
      <c r="B106" s="162"/>
    </row>
    <row r="107" spans="1:2" ht="12.75">
      <c r="A107" s="162"/>
      <c r="B107" s="162"/>
    </row>
    <row r="108" spans="1:2" ht="12.75">
      <c r="A108" s="162"/>
      <c r="B108" s="162"/>
    </row>
    <row r="109" spans="1:2" ht="12.75">
      <c r="A109" s="162"/>
      <c r="B109" s="3"/>
    </row>
    <row r="110" spans="1:2" ht="12.75">
      <c r="A110" s="4"/>
      <c r="B110" s="3"/>
    </row>
    <row r="111" spans="1:2" ht="12.75">
      <c r="A111" s="4"/>
      <c r="B111" s="3"/>
    </row>
    <row r="112" spans="1:2" ht="12.75">
      <c r="A112" s="4"/>
      <c r="B112" s="3"/>
    </row>
    <row r="113" spans="1:2" ht="12.75">
      <c r="A113" s="4"/>
      <c r="B113" s="3"/>
    </row>
    <row r="114" spans="1:2" ht="12.75">
      <c r="A114" s="4"/>
      <c r="B114" s="3"/>
    </row>
    <row r="115" spans="1:2" ht="12.75">
      <c r="A115" s="4"/>
      <c r="B115" s="3"/>
    </row>
    <row r="116" spans="1:2" ht="12.75">
      <c r="A116" s="4"/>
      <c r="B116" s="3"/>
    </row>
    <row r="117" spans="1:2" ht="12.75">
      <c r="A117" s="4"/>
      <c r="B117" s="3"/>
    </row>
    <row r="118" spans="1:2" ht="12.75">
      <c r="A118" s="4"/>
      <c r="B118" s="3"/>
    </row>
    <row r="119" spans="1:2" ht="12.75">
      <c r="A119" s="4"/>
      <c r="B119" s="3"/>
    </row>
    <row r="120" spans="1:2" ht="12.75">
      <c r="A120" s="4"/>
      <c r="B120" s="3"/>
    </row>
    <row r="121" spans="1:2" s="160" customFormat="1" ht="12.75">
      <c r="A121" s="4"/>
      <c r="B121" s="3"/>
    </row>
    <row r="122" spans="1:2" s="160" customFormat="1" ht="12.75">
      <c r="A122" s="4"/>
      <c r="B122" s="3"/>
    </row>
    <row r="123" spans="1:2" s="160" customFormat="1" ht="12.75">
      <c r="A123" s="4"/>
      <c r="B123" s="3"/>
    </row>
    <row r="124" spans="1:2" s="160" customFormat="1" ht="12.75">
      <c r="A124" s="4"/>
      <c r="B124" s="3"/>
    </row>
    <row r="125" spans="1:2" s="160" customFormat="1" ht="12.75">
      <c r="A125" s="4"/>
      <c r="B125" s="3"/>
    </row>
    <row r="126" spans="1:2" s="160" customFormat="1" ht="12.75">
      <c r="A126" s="4"/>
      <c r="B126" s="3"/>
    </row>
    <row r="127" spans="1:2" s="160" customFormat="1" ht="12.75">
      <c r="A127" s="4"/>
      <c r="B127" s="3"/>
    </row>
    <row r="128" spans="1:2" s="160" customFormat="1" ht="12.75">
      <c r="A128" s="4"/>
      <c r="B128" s="3"/>
    </row>
    <row r="129" spans="1:2" s="160" customFormat="1" ht="12.75">
      <c r="A129" s="4"/>
      <c r="B129" s="3"/>
    </row>
    <row r="130" spans="1:2" s="160" customFormat="1" ht="12.75">
      <c r="A130" s="4"/>
      <c r="B130" s="3"/>
    </row>
    <row r="131" spans="1:2" s="160" customFormat="1" ht="12.75">
      <c r="A131" s="4"/>
      <c r="B131" s="3"/>
    </row>
    <row r="132" spans="1:2" s="160" customFormat="1" ht="12.75">
      <c r="A132" s="4"/>
      <c r="B132" s="3"/>
    </row>
    <row r="133" spans="1:2" s="160" customFormat="1" ht="12.75">
      <c r="A133" s="4"/>
      <c r="B133" s="3"/>
    </row>
    <row r="134" spans="1:2" s="160" customFormat="1" ht="12.75">
      <c r="A134" s="4"/>
      <c r="B134" s="3"/>
    </row>
    <row r="135" spans="1:2" s="160" customFormat="1" ht="12.75">
      <c r="A135" s="4"/>
      <c r="B135"/>
    </row>
  </sheetData>
  <sheetProtection/>
  <mergeCells count="6">
    <mergeCell ref="C2:C3"/>
    <mergeCell ref="E2:E3"/>
    <mergeCell ref="A1:E1"/>
    <mergeCell ref="A2:A3"/>
    <mergeCell ref="B2:B3"/>
    <mergeCell ref="D2:D3"/>
  </mergeCells>
  <printOptions horizontalCentered="1"/>
  <pageMargins left="0.16" right="0.17" top="0.45" bottom="0.47" header="0.275590551181102" footer="0.25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F532"/>
  <sheetViews>
    <sheetView zoomScaleSheetLayoutView="112" zoomScalePageLayoutView="0" workbookViewId="0" topLeftCell="A1">
      <pane xSplit="4" ySplit="4" topLeftCell="E43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1" sqref="M1:M16384"/>
    </sheetView>
  </sheetViews>
  <sheetFormatPr defaultColWidth="9.140625" defaultRowHeight="12.75"/>
  <cols>
    <col min="1" max="1" width="6.8515625" style="7" customWidth="1"/>
    <col min="2" max="2" width="9.140625" style="6" customWidth="1"/>
    <col min="3" max="3" width="8.28125" style="6" customWidth="1"/>
    <col min="4" max="4" width="45.57421875" style="6" customWidth="1"/>
    <col min="5" max="5" width="14.8515625" style="57" customWidth="1"/>
    <col min="6" max="6" width="15.8515625" style="57" customWidth="1"/>
    <col min="7" max="7" width="14.8515625" style="57" customWidth="1"/>
    <col min="8" max="8" width="8.8515625" style="57" customWidth="1"/>
    <col min="9" max="9" width="8.57421875" style="52" customWidth="1"/>
    <col min="10" max="10" width="13.140625" style="6" hidden="1" customWidth="1"/>
    <col min="11" max="11" width="14.8515625" style="6" hidden="1" customWidth="1"/>
    <col min="12" max="12" width="13.140625" style="6" hidden="1" customWidth="1"/>
    <col min="13" max="13" width="11.00390625" style="6" hidden="1" customWidth="1"/>
    <col min="14" max="15" width="9.140625" style="6" customWidth="1"/>
    <col min="16" max="16" width="15.57421875" style="6" customWidth="1"/>
    <col min="17" max="16384" width="9.140625" style="6" customWidth="1"/>
  </cols>
  <sheetData>
    <row r="1" spans="1:9" ht="40.5" customHeight="1" thickBot="1">
      <c r="A1" s="523" t="s">
        <v>478</v>
      </c>
      <c r="B1" s="523"/>
      <c r="C1" s="523"/>
      <c r="D1" s="523"/>
      <c r="E1" s="523"/>
      <c r="F1" s="523"/>
      <c r="G1" s="523"/>
      <c r="H1" s="523"/>
      <c r="I1" s="523"/>
    </row>
    <row r="2" spans="1:9" ht="24.75" customHeight="1" thickTop="1">
      <c r="A2" s="501" t="s">
        <v>532</v>
      </c>
      <c r="B2" s="524" t="s">
        <v>4</v>
      </c>
      <c r="C2" s="525"/>
      <c r="D2" s="494" t="s">
        <v>237</v>
      </c>
      <c r="E2" s="528" t="s">
        <v>484</v>
      </c>
      <c r="F2" s="528" t="s">
        <v>522</v>
      </c>
      <c r="G2" s="528" t="s">
        <v>485</v>
      </c>
      <c r="H2" s="528" t="s">
        <v>533</v>
      </c>
      <c r="I2" s="526" t="s">
        <v>122</v>
      </c>
    </row>
    <row r="3" spans="1:12" s="61" customFormat="1" ht="71.25" customHeight="1">
      <c r="A3" s="502"/>
      <c r="B3" s="111" t="s">
        <v>236</v>
      </c>
      <c r="C3" s="111" t="s">
        <v>27</v>
      </c>
      <c r="D3" s="495"/>
      <c r="E3" s="529"/>
      <c r="F3" s="529"/>
      <c r="G3" s="529"/>
      <c r="H3" s="529"/>
      <c r="I3" s="527"/>
      <c r="J3" s="425" t="s">
        <v>524</v>
      </c>
      <c r="K3" s="436" t="s">
        <v>545</v>
      </c>
      <c r="L3" s="434" t="s">
        <v>529</v>
      </c>
    </row>
    <row r="4" spans="1:9" ht="9.75" customHeight="1">
      <c r="A4" s="112">
        <v>1</v>
      </c>
      <c r="B4" s="113">
        <v>2</v>
      </c>
      <c r="C4" s="113">
        <v>3</v>
      </c>
      <c r="D4" s="113">
        <v>4</v>
      </c>
      <c r="E4" s="228">
        <v>5</v>
      </c>
      <c r="F4" s="228" t="s">
        <v>486</v>
      </c>
      <c r="G4" s="228">
        <v>7</v>
      </c>
      <c r="H4" s="228" t="s">
        <v>492</v>
      </c>
      <c r="I4" s="114">
        <v>9</v>
      </c>
    </row>
    <row r="5" spans="1:9" ht="9.75" customHeight="1">
      <c r="A5" s="515"/>
      <c r="B5" s="516"/>
      <c r="C5" s="503" t="s">
        <v>247</v>
      </c>
      <c r="D5" s="503"/>
      <c r="E5" s="192"/>
      <c r="F5" s="192"/>
      <c r="G5" s="192"/>
      <c r="H5" s="192"/>
      <c r="I5" s="193"/>
    </row>
    <row r="6" spans="1:9" ht="9.75" customHeight="1">
      <c r="A6" s="517"/>
      <c r="B6" s="518"/>
      <c r="C6" s="503"/>
      <c r="D6" s="503"/>
      <c r="E6" s="194"/>
      <c r="F6" s="194"/>
      <c r="G6" s="194"/>
      <c r="H6" s="194"/>
      <c r="I6" s="195"/>
    </row>
    <row r="7" spans="1:12" ht="19.5" customHeight="1">
      <c r="A7" s="519"/>
      <c r="B7" s="520"/>
      <c r="C7" s="503"/>
      <c r="D7" s="503"/>
      <c r="E7" s="196"/>
      <c r="F7" s="196"/>
      <c r="G7" s="196"/>
      <c r="H7" s="196"/>
      <c r="I7" s="197"/>
      <c r="J7" s="1"/>
      <c r="K7" s="172"/>
      <c r="L7" s="1"/>
    </row>
    <row r="8" spans="1:12" ht="19.5" customHeight="1">
      <c r="A8" s="146"/>
      <c r="B8" s="24">
        <v>411000</v>
      </c>
      <c r="C8" s="18"/>
      <c r="D8" s="33" t="s">
        <v>145</v>
      </c>
      <c r="E8" s="64">
        <f>SUM(E9)</f>
        <v>800</v>
      </c>
      <c r="F8" s="64">
        <f>SUM(F9)</f>
        <v>2260</v>
      </c>
      <c r="G8" s="64">
        <f>SUM(G9)</f>
        <v>3060</v>
      </c>
      <c r="H8" s="214">
        <f>G8/E8*100</f>
        <v>382.5</v>
      </c>
      <c r="I8" s="66">
        <f aca="true" t="shared" si="0" ref="I8:I20">G8/$G$432*100</f>
        <v>0.022153044233692895</v>
      </c>
      <c r="J8" s="64">
        <f>SUM(J9)</f>
        <v>3060</v>
      </c>
      <c r="K8" s="64">
        <f>SUM(K9)</f>
        <v>3060</v>
      </c>
      <c r="L8" s="1"/>
    </row>
    <row r="9" spans="1:12" ht="13.5" customHeight="1">
      <c r="A9" s="146" t="s">
        <v>28</v>
      </c>
      <c r="B9" s="311"/>
      <c r="C9" s="314">
        <v>411200</v>
      </c>
      <c r="D9" s="45" t="s">
        <v>440</v>
      </c>
      <c r="E9" s="312">
        <v>800</v>
      </c>
      <c r="F9" s="312">
        <f>G9-E9</f>
        <v>2260</v>
      </c>
      <c r="G9" s="312">
        <v>3060</v>
      </c>
      <c r="H9" s="241">
        <f aca="true" t="shared" si="1" ref="H9:H20">G9/E9*100</f>
        <v>382.5</v>
      </c>
      <c r="I9" s="373">
        <f t="shared" si="0"/>
        <v>0.022153044233692895</v>
      </c>
      <c r="J9" s="312">
        <v>3060</v>
      </c>
      <c r="K9" s="312">
        <v>3060</v>
      </c>
      <c r="L9" s="1"/>
    </row>
    <row r="10" spans="1:12" ht="14.25" customHeight="1">
      <c r="A10" s="146"/>
      <c r="B10" s="24">
        <v>412000</v>
      </c>
      <c r="C10" s="18"/>
      <c r="D10" s="33" t="s">
        <v>147</v>
      </c>
      <c r="E10" s="64">
        <f>SUM(E11:E15)</f>
        <v>254000</v>
      </c>
      <c r="F10" s="64">
        <f>SUM(F11:F15)</f>
        <v>-8456.910000000003</v>
      </c>
      <c r="G10" s="64">
        <f>SUM(G11:G15)</f>
        <v>245543.09</v>
      </c>
      <c r="H10" s="214">
        <f t="shared" si="1"/>
        <v>96.67050787401574</v>
      </c>
      <c r="I10" s="66">
        <f t="shared" si="0"/>
        <v>1.777623181061319</v>
      </c>
      <c r="J10" s="64">
        <f>SUM(J11:J15)</f>
        <v>250240</v>
      </c>
      <c r="K10" s="64">
        <f>SUM(K11:K15)</f>
        <v>251380</v>
      </c>
      <c r="L10" s="1"/>
    </row>
    <row r="11" spans="1:12" ht="12.75" customHeight="1">
      <c r="A11" s="146" t="s">
        <v>28</v>
      </c>
      <c r="B11" s="26"/>
      <c r="C11" s="18">
        <v>412900</v>
      </c>
      <c r="D11" s="31" t="s">
        <v>0</v>
      </c>
      <c r="E11" s="229">
        <v>9500</v>
      </c>
      <c r="F11" s="229">
        <f aca="true" t="shared" si="2" ref="F11:F16">G11-E11</f>
        <v>-300</v>
      </c>
      <c r="G11" s="229">
        <v>9200</v>
      </c>
      <c r="H11" s="241">
        <f t="shared" si="1"/>
        <v>96.84210526315789</v>
      </c>
      <c r="I11" s="373">
        <f t="shared" si="0"/>
        <v>0.066603923839861</v>
      </c>
      <c r="J11" s="229">
        <v>9200</v>
      </c>
      <c r="K11" s="229">
        <v>9200</v>
      </c>
      <c r="L11" s="1"/>
    </row>
    <row r="12" spans="1:12" ht="12.75" customHeight="1">
      <c r="A12" s="146" t="s">
        <v>28</v>
      </c>
      <c r="B12" s="26"/>
      <c r="C12" s="18">
        <v>412900</v>
      </c>
      <c r="D12" s="31" t="s">
        <v>238</v>
      </c>
      <c r="E12" s="229">
        <v>5500</v>
      </c>
      <c r="F12" s="229">
        <f t="shared" si="2"/>
        <v>-700</v>
      </c>
      <c r="G12" s="229">
        <v>4800</v>
      </c>
      <c r="H12" s="241">
        <f t="shared" si="1"/>
        <v>87.27272727272727</v>
      </c>
      <c r="I12" s="373">
        <f t="shared" si="0"/>
        <v>0.034749873307753566</v>
      </c>
      <c r="J12" s="229">
        <v>4800</v>
      </c>
      <c r="K12" s="229">
        <v>4800</v>
      </c>
      <c r="L12" s="1"/>
    </row>
    <row r="13" spans="1:12" ht="12.75" customHeight="1">
      <c r="A13" s="41" t="s">
        <v>28</v>
      </c>
      <c r="B13" s="26"/>
      <c r="C13" s="39">
        <v>412900</v>
      </c>
      <c r="D13" s="35" t="s">
        <v>102</v>
      </c>
      <c r="E13" s="229">
        <v>220000</v>
      </c>
      <c r="F13" s="229">
        <f t="shared" si="2"/>
        <v>-4396.9100000000035</v>
      </c>
      <c r="G13" s="229">
        <v>215603.09</v>
      </c>
      <c r="H13" s="241">
        <f t="shared" si="1"/>
        <v>98.00140454545453</v>
      </c>
      <c r="I13" s="373">
        <f t="shared" si="0"/>
        <v>1.5608708463042062</v>
      </c>
      <c r="J13" s="229">
        <v>217300</v>
      </c>
      <c r="K13" s="229">
        <v>218440</v>
      </c>
      <c r="L13" s="445">
        <v>2836.91</v>
      </c>
    </row>
    <row r="14" spans="1:12" ht="12.75" customHeight="1">
      <c r="A14" s="41" t="s">
        <v>28</v>
      </c>
      <c r="B14" s="26"/>
      <c r="C14" s="39">
        <v>412900</v>
      </c>
      <c r="D14" s="35" t="s">
        <v>211</v>
      </c>
      <c r="E14" s="229">
        <v>4000</v>
      </c>
      <c r="F14" s="229">
        <f t="shared" si="2"/>
        <v>-60</v>
      </c>
      <c r="G14" s="229">
        <v>3940</v>
      </c>
      <c r="H14" s="241">
        <f t="shared" si="1"/>
        <v>98.5</v>
      </c>
      <c r="I14" s="373">
        <f t="shared" si="0"/>
        <v>0.028523854340114386</v>
      </c>
      <c r="J14" s="229">
        <v>3940</v>
      </c>
      <c r="K14" s="229">
        <v>3940</v>
      </c>
      <c r="L14" s="310"/>
    </row>
    <row r="15" spans="1:12" ht="12.75" customHeight="1">
      <c r="A15" s="41" t="s">
        <v>30</v>
      </c>
      <c r="B15" s="26"/>
      <c r="C15" s="39">
        <v>412900</v>
      </c>
      <c r="D15" s="35" t="s">
        <v>246</v>
      </c>
      <c r="E15" s="229">
        <v>15000</v>
      </c>
      <c r="F15" s="229">
        <f t="shared" si="2"/>
        <v>-3000</v>
      </c>
      <c r="G15" s="229">
        <v>12000</v>
      </c>
      <c r="H15" s="241">
        <f t="shared" si="1"/>
        <v>80</v>
      </c>
      <c r="I15" s="373">
        <f t="shared" si="0"/>
        <v>0.08687468326938391</v>
      </c>
      <c r="J15" s="229">
        <v>15000</v>
      </c>
      <c r="K15" s="229">
        <v>15000</v>
      </c>
      <c r="L15" s="445">
        <v>3000</v>
      </c>
    </row>
    <row r="16" spans="1:12" ht="18.75" customHeight="1" hidden="1">
      <c r="A16" s="41" t="s">
        <v>28</v>
      </c>
      <c r="B16" s="26"/>
      <c r="C16" s="39">
        <v>412900</v>
      </c>
      <c r="D16" s="35" t="s">
        <v>156</v>
      </c>
      <c r="E16" s="229">
        <v>0</v>
      </c>
      <c r="F16" s="229">
        <f t="shared" si="2"/>
        <v>0</v>
      </c>
      <c r="G16" s="229">
        <v>0</v>
      </c>
      <c r="H16" s="241" t="e">
        <f t="shared" si="1"/>
        <v>#DIV/0!</v>
      </c>
      <c r="I16" s="373">
        <f t="shared" si="0"/>
        <v>0</v>
      </c>
      <c r="J16" s="229">
        <v>0</v>
      </c>
      <c r="K16" s="229">
        <v>0</v>
      </c>
      <c r="L16" s="1"/>
    </row>
    <row r="17" spans="1:12" ht="14.25" customHeight="1">
      <c r="A17" s="146"/>
      <c r="B17" s="24">
        <v>415000</v>
      </c>
      <c r="C17" s="18"/>
      <c r="D17" s="36" t="s">
        <v>161</v>
      </c>
      <c r="E17" s="64">
        <f>SUM(E18:E19)</f>
        <v>28000</v>
      </c>
      <c r="F17" s="64">
        <f>SUM(F18)</f>
        <v>-2800</v>
      </c>
      <c r="G17" s="64">
        <f>SUM(G18:G19)</f>
        <v>25200</v>
      </c>
      <c r="H17" s="214">
        <f t="shared" si="1"/>
        <v>90</v>
      </c>
      <c r="I17" s="66">
        <f t="shared" si="0"/>
        <v>0.18243683486570622</v>
      </c>
      <c r="J17" s="64">
        <f>SUM(J18:J19)</f>
        <v>25200</v>
      </c>
      <c r="K17" s="64">
        <f>SUM(K18:K19)</f>
        <v>25200</v>
      </c>
      <c r="L17" s="1"/>
    </row>
    <row r="18" spans="1:12" ht="12.75" customHeight="1">
      <c r="A18" s="146" t="s">
        <v>30</v>
      </c>
      <c r="B18" s="26"/>
      <c r="C18" s="18">
        <v>415200</v>
      </c>
      <c r="D18" s="31" t="s">
        <v>245</v>
      </c>
      <c r="E18" s="229">
        <v>28000</v>
      </c>
      <c r="F18" s="229">
        <f>G18-E18</f>
        <v>-2800</v>
      </c>
      <c r="G18" s="229">
        <v>25200</v>
      </c>
      <c r="H18" s="241">
        <f t="shared" si="1"/>
        <v>90</v>
      </c>
      <c r="I18" s="373">
        <f t="shared" si="0"/>
        <v>0.18243683486570622</v>
      </c>
      <c r="J18" s="229">
        <v>25200</v>
      </c>
      <c r="K18" s="229">
        <v>25200</v>
      </c>
      <c r="L18" s="1"/>
    </row>
    <row r="19" spans="1:12" ht="18" customHeight="1" hidden="1">
      <c r="A19" s="146" t="s">
        <v>30</v>
      </c>
      <c r="B19" s="26"/>
      <c r="C19" s="18">
        <v>415200</v>
      </c>
      <c r="D19" s="31" t="s">
        <v>456</v>
      </c>
      <c r="E19" s="229">
        <v>0</v>
      </c>
      <c r="F19" s="229">
        <f>G19-E19</f>
        <v>0</v>
      </c>
      <c r="G19" s="229">
        <v>0</v>
      </c>
      <c r="H19" s="241" t="e">
        <f t="shared" si="1"/>
        <v>#DIV/0!</v>
      </c>
      <c r="I19" s="373">
        <f t="shared" si="0"/>
        <v>0</v>
      </c>
      <c r="J19" s="229">
        <v>0</v>
      </c>
      <c r="K19" s="229">
        <v>0</v>
      </c>
      <c r="L19" s="1"/>
    </row>
    <row r="20" spans="1:13" ht="30" customHeight="1">
      <c r="A20" s="513"/>
      <c r="B20" s="514"/>
      <c r="C20" s="505" t="s">
        <v>85</v>
      </c>
      <c r="D20" s="505"/>
      <c r="E20" s="72">
        <f>E8+E10+E17</f>
        <v>282800</v>
      </c>
      <c r="F20" s="72">
        <f>F8+F10+F17</f>
        <v>-8996.910000000003</v>
      </c>
      <c r="G20" s="72">
        <f>G8+G10+G17</f>
        <v>273803.08999999997</v>
      </c>
      <c r="H20" s="382">
        <f t="shared" si="1"/>
        <v>96.81863154172558</v>
      </c>
      <c r="I20" s="381">
        <f t="shared" si="0"/>
        <v>1.9822130601607177</v>
      </c>
      <c r="J20" s="72">
        <f>J8+J10+J17</f>
        <v>278500</v>
      </c>
      <c r="K20" s="72">
        <f>K8+K10+K17</f>
        <v>279640</v>
      </c>
      <c r="L20" s="1"/>
      <c r="M20" s="172"/>
    </row>
    <row r="21" spans="1:12" ht="9.75" customHeight="1">
      <c r="A21" s="515"/>
      <c r="B21" s="516"/>
      <c r="C21" s="503" t="s">
        <v>248</v>
      </c>
      <c r="D21" s="503"/>
      <c r="E21" s="198"/>
      <c r="F21" s="198"/>
      <c r="G21" s="198"/>
      <c r="H21" s="198"/>
      <c r="I21" s="282"/>
      <c r="K21" s="198"/>
      <c r="L21" s="15"/>
    </row>
    <row r="22" spans="1:12" ht="9.75" customHeight="1">
      <c r="A22" s="517"/>
      <c r="B22" s="518"/>
      <c r="C22" s="503"/>
      <c r="D22" s="503"/>
      <c r="E22" s="199"/>
      <c r="F22" s="199"/>
      <c r="G22" s="199"/>
      <c r="H22" s="199"/>
      <c r="I22" s="283"/>
      <c r="J22" s="429" t="s">
        <v>526</v>
      </c>
      <c r="K22" s="199">
        <f>G20-K20</f>
        <v>-5836.910000000033</v>
      </c>
      <c r="L22" s="15"/>
    </row>
    <row r="23" spans="1:12" ht="19.5" customHeight="1">
      <c r="A23" s="519"/>
      <c r="B23" s="520"/>
      <c r="C23" s="503"/>
      <c r="D23" s="503"/>
      <c r="E23" s="200"/>
      <c r="F23" s="200"/>
      <c r="G23" s="200"/>
      <c r="H23" s="200"/>
      <c r="I23" s="284"/>
      <c r="J23" s="172"/>
      <c r="K23" s="200"/>
      <c r="L23" s="15"/>
    </row>
    <row r="24" spans="1:12" ht="19.5" customHeight="1">
      <c r="A24" s="146"/>
      <c r="B24" s="24">
        <v>411000</v>
      </c>
      <c r="C24" s="18"/>
      <c r="D24" s="33" t="s">
        <v>145</v>
      </c>
      <c r="E24" s="64">
        <f>SUM(E25)</f>
        <v>2200</v>
      </c>
      <c r="F24" s="64">
        <f>SUM(F25)</f>
        <v>-566</v>
      </c>
      <c r="G24" s="64">
        <f>SUM(G25)</f>
        <v>1634</v>
      </c>
      <c r="H24" s="64">
        <f>G24/E24*100</f>
        <v>74.27272727272727</v>
      </c>
      <c r="I24" s="66">
        <f aca="true" t="shared" si="3" ref="I24:I44">G24/$G$432*100</f>
        <v>0.011829436038514444</v>
      </c>
      <c r="J24" s="64">
        <f>SUM(J25)</f>
        <v>1634</v>
      </c>
      <c r="K24" s="64">
        <f>SUM(K25)</f>
        <v>1634</v>
      </c>
      <c r="L24" s="15"/>
    </row>
    <row r="25" spans="1:12" ht="15" customHeight="1">
      <c r="A25" s="146" t="s">
        <v>28</v>
      </c>
      <c r="B25" s="311"/>
      <c r="C25" s="314">
        <v>411200</v>
      </c>
      <c r="D25" s="45" t="s">
        <v>440</v>
      </c>
      <c r="E25" s="313">
        <v>2200</v>
      </c>
      <c r="F25" s="313">
        <f>G25-E25</f>
        <v>-566</v>
      </c>
      <c r="G25" s="313">
        <v>1634</v>
      </c>
      <c r="H25" s="379">
        <f aca="true" t="shared" si="4" ref="H25:H44">G25/E25*100</f>
        <v>74.27272727272727</v>
      </c>
      <c r="I25" s="373">
        <f t="shared" si="3"/>
        <v>0.011829436038514444</v>
      </c>
      <c r="J25" s="313">
        <v>1634</v>
      </c>
      <c r="K25" s="313">
        <v>1634</v>
      </c>
      <c r="L25" s="15"/>
    </row>
    <row r="26" spans="1:12" ht="14.25" customHeight="1">
      <c r="A26" s="146"/>
      <c r="B26" s="24">
        <v>412000</v>
      </c>
      <c r="C26" s="18"/>
      <c r="D26" s="33" t="s">
        <v>147</v>
      </c>
      <c r="E26" s="64">
        <f>SUM(E27:E33)</f>
        <v>42000</v>
      </c>
      <c r="F26" s="64">
        <f>SUM(F27:F34)</f>
        <v>-4950</v>
      </c>
      <c r="G26" s="64">
        <f>SUM(G27:G34)</f>
        <v>37050</v>
      </c>
      <c r="H26" s="64">
        <f t="shared" si="4"/>
        <v>88.21428571428571</v>
      </c>
      <c r="I26" s="66">
        <f t="shared" si="3"/>
        <v>0.26822558459422285</v>
      </c>
      <c r="J26" s="64">
        <f>SUM(J27:J34)</f>
        <v>37550</v>
      </c>
      <c r="K26" s="64">
        <f>SUM(K27:K34)</f>
        <v>37550</v>
      </c>
      <c r="L26" s="15"/>
    </row>
    <row r="27" spans="1:12" ht="12.75" customHeight="1">
      <c r="A27" s="146" t="s">
        <v>28</v>
      </c>
      <c r="B27" s="34"/>
      <c r="C27" s="18">
        <v>412900</v>
      </c>
      <c r="D27" s="31" t="s">
        <v>0</v>
      </c>
      <c r="E27" s="229">
        <v>18000</v>
      </c>
      <c r="F27" s="229">
        <f>G27-E27</f>
        <v>1750</v>
      </c>
      <c r="G27" s="229">
        <v>19750</v>
      </c>
      <c r="H27" s="379">
        <f t="shared" si="4"/>
        <v>109.72222222222223</v>
      </c>
      <c r="I27" s="373">
        <f t="shared" si="3"/>
        <v>0.1429812495475277</v>
      </c>
      <c r="J27" s="229">
        <v>19750</v>
      </c>
      <c r="K27" s="229">
        <v>19750</v>
      </c>
      <c r="L27" s="15"/>
    </row>
    <row r="28" spans="1:12" ht="12.75" customHeight="1" hidden="1">
      <c r="A28" s="146" t="s">
        <v>28</v>
      </c>
      <c r="B28" s="34"/>
      <c r="C28" s="18">
        <v>412900</v>
      </c>
      <c r="D28" s="31" t="s">
        <v>398</v>
      </c>
      <c r="E28" s="229">
        <v>0</v>
      </c>
      <c r="F28" s="229">
        <f aca="true" t="shared" si="5" ref="F28:F34">G28-E28</f>
        <v>0</v>
      </c>
      <c r="G28" s="229"/>
      <c r="H28" s="379" t="e">
        <f t="shared" si="4"/>
        <v>#DIV/0!</v>
      </c>
      <c r="I28" s="373">
        <f t="shared" si="3"/>
        <v>0</v>
      </c>
      <c r="J28" s="229"/>
      <c r="K28" s="229"/>
      <c r="L28" s="15"/>
    </row>
    <row r="29" spans="1:13" ht="12.75" customHeight="1">
      <c r="A29" s="146" t="s">
        <v>28</v>
      </c>
      <c r="B29" s="34"/>
      <c r="C29" s="39">
        <v>412900</v>
      </c>
      <c r="D29" s="35" t="s">
        <v>103</v>
      </c>
      <c r="E29" s="229">
        <v>7000</v>
      </c>
      <c r="F29" s="229">
        <f t="shared" si="5"/>
        <v>0</v>
      </c>
      <c r="G29" s="229">
        <v>7000</v>
      </c>
      <c r="H29" s="379">
        <f t="shared" si="4"/>
        <v>100</v>
      </c>
      <c r="I29" s="373">
        <f t="shared" si="3"/>
        <v>0.050676898573807284</v>
      </c>
      <c r="J29" s="229">
        <v>7000</v>
      </c>
      <c r="K29" s="229">
        <v>7000</v>
      </c>
      <c r="L29"/>
      <c r="M29"/>
    </row>
    <row r="30" spans="1:11" ht="12.75" customHeight="1" hidden="1">
      <c r="A30" s="146" t="s">
        <v>28</v>
      </c>
      <c r="B30" s="24"/>
      <c r="C30" s="38">
        <v>412900</v>
      </c>
      <c r="D30" s="40" t="s">
        <v>217</v>
      </c>
      <c r="E30" s="229">
        <v>0</v>
      </c>
      <c r="F30" s="229">
        <f t="shared" si="5"/>
        <v>0</v>
      </c>
      <c r="G30" s="229">
        <v>0</v>
      </c>
      <c r="H30" s="379" t="e">
        <f t="shared" si="4"/>
        <v>#DIV/0!</v>
      </c>
      <c r="I30" s="373">
        <f t="shared" si="3"/>
        <v>0</v>
      </c>
      <c r="J30" s="229">
        <v>0</v>
      </c>
      <c r="K30" s="229">
        <v>0</v>
      </c>
    </row>
    <row r="31" spans="1:12" ht="24" customHeight="1">
      <c r="A31" s="41" t="s">
        <v>28</v>
      </c>
      <c r="B31" s="34"/>
      <c r="C31" s="38">
        <v>412900</v>
      </c>
      <c r="D31" s="35" t="s">
        <v>295</v>
      </c>
      <c r="E31" s="229">
        <v>5000</v>
      </c>
      <c r="F31" s="229">
        <f t="shared" si="5"/>
        <v>-5000</v>
      </c>
      <c r="G31" s="229">
        <v>0</v>
      </c>
      <c r="H31" s="379">
        <f t="shared" si="4"/>
        <v>0</v>
      </c>
      <c r="I31" s="373">
        <f t="shared" si="3"/>
        <v>0</v>
      </c>
      <c r="J31" s="229">
        <v>500</v>
      </c>
      <c r="K31" s="229">
        <v>500</v>
      </c>
      <c r="L31" s="446">
        <v>500</v>
      </c>
    </row>
    <row r="32" spans="1:11" ht="12.75">
      <c r="A32" s="41" t="s">
        <v>28</v>
      </c>
      <c r="B32" s="34"/>
      <c r="C32" s="38">
        <v>412900</v>
      </c>
      <c r="D32" s="35" t="s">
        <v>293</v>
      </c>
      <c r="E32" s="229">
        <v>9000</v>
      </c>
      <c r="F32" s="229">
        <f t="shared" si="5"/>
        <v>-2200</v>
      </c>
      <c r="G32" s="229">
        <v>6800</v>
      </c>
      <c r="H32" s="379">
        <f t="shared" si="4"/>
        <v>75.55555555555556</v>
      </c>
      <c r="I32" s="373">
        <f t="shared" si="3"/>
        <v>0.049228987185984216</v>
      </c>
      <c r="J32" s="229">
        <v>6800</v>
      </c>
      <c r="K32" s="229">
        <v>6800</v>
      </c>
    </row>
    <row r="33" spans="1:11" ht="21" customHeight="1">
      <c r="A33" s="41" t="s">
        <v>28</v>
      </c>
      <c r="B33" s="34"/>
      <c r="C33" s="38">
        <v>412900</v>
      </c>
      <c r="D33" s="35" t="s">
        <v>368</v>
      </c>
      <c r="E33" s="229">
        <v>3000</v>
      </c>
      <c r="F33" s="229">
        <f t="shared" si="5"/>
        <v>-300</v>
      </c>
      <c r="G33" s="229">
        <v>2700</v>
      </c>
      <c r="H33" s="379">
        <f t="shared" si="4"/>
        <v>90</v>
      </c>
      <c r="I33" s="373">
        <f t="shared" si="3"/>
        <v>0.01954680373561138</v>
      </c>
      <c r="J33" s="229">
        <v>2700</v>
      </c>
      <c r="K33" s="229">
        <v>2700</v>
      </c>
    </row>
    <row r="34" spans="1:11" ht="24" customHeight="1">
      <c r="A34" s="41" t="s">
        <v>28</v>
      </c>
      <c r="B34" s="34"/>
      <c r="C34" s="38">
        <v>412900</v>
      </c>
      <c r="D34" s="35" t="s">
        <v>467</v>
      </c>
      <c r="E34" s="229">
        <v>0</v>
      </c>
      <c r="F34" s="229">
        <f t="shared" si="5"/>
        <v>800</v>
      </c>
      <c r="G34" s="229">
        <v>800</v>
      </c>
      <c r="H34" s="379" t="e">
        <f t="shared" si="4"/>
        <v>#DIV/0!</v>
      </c>
      <c r="I34" s="373">
        <f t="shared" si="3"/>
        <v>0.005791645551292261</v>
      </c>
      <c r="J34" s="229">
        <v>800</v>
      </c>
      <c r="K34" s="229">
        <v>800</v>
      </c>
    </row>
    <row r="35" spans="1:11" ht="14.25" customHeight="1">
      <c r="A35" s="41"/>
      <c r="B35" s="24">
        <v>419000</v>
      </c>
      <c r="C35" s="38"/>
      <c r="D35" s="33" t="s">
        <v>406</v>
      </c>
      <c r="E35" s="64">
        <f>SUM(E36)</f>
        <v>160000</v>
      </c>
      <c r="F35" s="64">
        <f>SUM(F36)</f>
        <v>-58100</v>
      </c>
      <c r="G35" s="64">
        <f>SUM(G36)</f>
        <v>101900</v>
      </c>
      <c r="H35" s="64">
        <f t="shared" si="4"/>
        <v>63.6875</v>
      </c>
      <c r="I35" s="66">
        <f t="shared" si="3"/>
        <v>0.7377108520958517</v>
      </c>
      <c r="J35" s="64">
        <f>SUM(J36)</f>
        <v>101900</v>
      </c>
      <c r="K35" s="64">
        <f>SUM(K36)</f>
        <v>101900</v>
      </c>
    </row>
    <row r="36" spans="1:11" ht="23.25" customHeight="1">
      <c r="A36" s="41" t="s">
        <v>28</v>
      </c>
      <c r="B36" s="34"/>
      <c r="C36" s="38">
        <v>419100</v>
      </c>
      <c r="D36" s="35" t="s">
        <v>104</v>
      </c>
      <c r="E36" s="229">
        <v>160000</v>
      </c>
      <c r="F36" s="229">
        <f>G36-E36</f>
        <v>-58100</v>
      </c>
      <c r="G36" s="229">
        <v>101900</v>
      </c>
      <c r="H36" s="379">
        <f t="shared" si="4"/>
        <v>63.6875</v>
      </c>
      <c r="I36" s="373">
        <f t="shared" si="3"/>
        <v>0.7377108520958517</v>
      </c>
      <c r="J36" s="229">
        <v>101900</v>
      </c>
      <c r="K36" s="229">
        <v>101900</v>
      </c>
    </row>
    <row r="37" spans="1:11" ht="14.25" customHeight="1">
      <c r="A37" s="146"/>
      <c r="B37" s="77">
        <v>513000</v>
      </c>
      <c r="C37" s="38"/>
      <c r="D37" s="60" t="s">
        <v>192</v>
      </c>
      <c r="E37" s="64">
        <f>SUM(E38:E38)</f>
        <v>50000</v>
      </c>
      <c r="F37" s="64">
        <f>SUM(F38:F38)</f>
        <v>57000</v>
      </c>
      <c r="G37" s="64">
        <f>SUM(G38:G38)</f>
        <v>107000</v>
      </c>
      <c r="H37" s="64">
        <f t="shared" si="4"/>
        <v>214</v>
      </c>
      <c r="I37" s="66">
        <f t="shared" si="3"/>
        <v>0.7746325924853399</v>
      </c>
      <c r="J37" s="64">
        <f>SUM(J38:J38)</f>
        <v>107000</v>
      </c>
      <c r="K37" s="64">
        <f>SUM(K38:K38)</f>
        <v>107000</v>
      </c>
    </row>
    <row r="38" spans="1:11" ht="23.25" customHeight="1">
      <c r="A38" s="41" t="s">
        <v>28</v>
      </c>
      <c r="B38" s="34"/>
      <c r="C38" s="38">
        <v>513100</v>
      </c>
      <c r="D38" s="31" t="s">
        <v>270</v>
      </c>
      <c r="E38" s="229">
        <v>50000</v>
      </c>
      <c r="F38" s="229">
        <f>G38-E38</f>
        <v>57000</v>
      </c>
      <c r="G38" s="229">
        <v>107000</v>
      </c>
      <c r="H38" s="379">
        <f t="shared" si="4"/>
        <v>214</v>
      </c>
      <c r="I38" s="373">
        <f t="shared" si="3"/>
        <v>0.7746325924853399</v>
      </c>
      <c r="J38" s="229">
        <v>107000</v>
      </c>
      <c r="K38" s="229">
        <v>107000</v>
      </c>
    </row>
    <row r="39" spans="1:11" ht="23.25" customHeight="1">
      <c r="A39" s="41"/>
      <c r="B39" s="34"/>
      <c r="C39" s="38"/>
      <c r="D39" s="33" t="s">
        <v>362</v>
      </c>
      <c r="E39" s="64">
        <f>SUM(E40:E43)</f>
        <v>28000</v>
      </c>
      <c r="F39" s="64">
        <f>SUM(F40:F43)</f>
        <v>-1400</v>
      </c>
      <c r="G39" s="64">
        <f>SUM(G40:G43)</f>
        <v>26600</v>
      </c>
      <c r="H39" s="64">
        <f t="shared" si="4"/>
        <v>95</v>
      </c>
      <c r="I39" s="66">
        <f t="shared" si="3"/>
        <v>0.19257221458046767</v>
      </c>
      <c r="J39" s="64">
        <f>SUM(J40:J43)</f>
        <v>26600</v>
      </c>
      <c r="K39" s="64">
        <f>SUM(K40:K43)</f>
        <v>26600</v>
      </c>
    </row>
    <row r="40" spans="1:12" ht="12.75">
      <c r="A40" s="41" t="s">
        <v>60</v>
      </c>
      <c r="B40" s="34"/>
      <c r="C40" s="38">
        <v>412900</v>
      </c>
      <c r="D40" s="31" t="s">
        <v>341</v>
      </c>
      <c r="E40" s="229">
        <v>2000</v>
      </c>
      <c r="F40" s="229">
        <f>G40-E40</f>
        <v>-100</v>
      </c>
      <c r="G40" s="229">
        <v>1900</v>
      </c>
      <c r="H40" s="379">
        <f t="shared" si="4"/>
        <v>95</v>
      </c>
      <c r="I40" s="373">
        <f t="shared" si="3"/>
        <v>0.013755158184319119</v>
      </c>
      <c r="J40" s="229">
        <v>1900</v>
      </c>
      <c r="K40" s="229">
        <v>1900</v>
      </c>
      <c r="L40" s="172"/>
    </row>
    <row r="41" spans="1:13" ht="38.25" customHeight="1">
      <c r="A41" s="41" t="s">
        <v>60</v>
      </c>
      <c r="B41" s="34"/>
      <c r="C41" s="38">
        <v>412900</v>
      </c>
      <c r="D41" s="31" t="s">
        <v>394</v>
      </c>
      <c r="E41" s="229">
        <v>2000</v>
      </c>
      <c r="F41" s="229">
        <f>G41-E41</f>
        <v>-100</v>
      </c>
      <c r="G41" s="229">
        <v>1900</v>
      </c>
      <c r="H41" s="379">
        <f t="shared" si="4"/>
        <v>95</v>
      </c>
      <c r="I41" s="373">
        <f t="shared" si="3"/>
        <v>0.013755158184319119</v>
      </c>
      <c r="J41" s="229">
        <v>1900</v>
      </c>
      <c r="K41" s="229">
        <v>1900</v>
      </c>
      <c r="L41" s="427"/>
      <c r="M41" s="172">
        <v>1753.75</v>
      </c>
    </row>
    <row r="42" spans="1:13" ht="22.5" customHeight="1">
      <c r="A42" s="41" t="s">
        <v>34</v>
      </c>
      <c r="B42" s="34"/>
      <c r="C42" s="38">
        <v>416100</v>
      </c>
      <c r="D42" s="31" t="s">
        <v>229</v>
      </c>
      <c r="E42" s="229">
        <v>20000</v>
      </c>
      <c r="F42" s="229">
        <f>G42-E42</f>
        <v>-1000</v>
      </c>
      <c r="G42" s="229">
        <v>19000</v>
      </c>
      <c r="H42" s="379">
        <f t="shared" si="4"/>
        <v>95</v>
      </c>
      <c r="I42" s="373">
        <f t="shared" si="3"/>
        <v>0.1375515818431912</v>
      </c>
      <c r="J42" s="229">
        <v>19000</v>
      </c>
      <c r="K42" s="229">
        <v>19000</v>
      </c>
      <c r="L42" s="427"/>
      <c r="M42" s="172">
        <v>18265</v>
      </c>
    </row>
    <row r="43" spans="1:12" ht="12.75">
      <c r="A43" s="41" t="s">
        <v>60</v>
      </c>
      <c r="B43" s="34"/>
      <c r="C43" s="38">
        <v>511300</v>
      </c>
      <c r="D43" s="31" t="s">
        <v>342</v>
      </c>
      <c r="E43" s="229">
        <v>4000</v>
      </c>
      <c r="F43" s="229">
        <f>G43-E43</f>
        <v>-200</v>
      </c>
      <c r="G43" s="229">
        <v>3800</v>
      </c>
      <c r="H43" s="379">
        <f t="shared" si="4"/>
        <v>95</v>
      </c>
      <c r="I43" s="373">
        <f t="shared" si="3"/>
        <v>0.027510316368638238</v>
      </c>
      <c r="J43" s="229">
        <v>3800</v>
      </c>
      <c r="K43" s="229">
        <v>3800</v>
      </c>
      <c r="L43" s="172"/>
    </row>
    <row r="44" spans="1:12" ht="30" customHeight="1">
      <c r="A44" s="513"/>
      <c r="B44" s="514"/>
      <c r="C44" s="505" t="s">
        <v>86</v>
      </c>
      <c r="D44" s="505"/>
      <c r="E44" s="72">
        <f>E24+E26+E35+E37+E39</f>
        <v>282200</v>
      </c>
      <c r="F44" s="72">
        <f>F24+F26+F35+F37+F39</f>
        <v>-8016</v>
      </c>
      <c r="G44" s="72">
        <f>G24+G26+G35+G37+G39</f>
        <v>274184</v>
      </c>
      <c r="H44" s="380">
        <f t="shared" si="4"/>
        <v>97.15946137491142</v>
      </c>
      <c r="I44" s="381">
        <f t="shared" si="3"/>
        <v>1.9849706797943967</v>
      </c>
      <c r="J44" s="72">
        <f>J24+J26+J35+J37+J39</f>
        <v>274684</v>
      </c>
      <c r="K44" s="72">
        <f>K24+K26+K35+K37+K39</f>
        <v>274684</v>
      </c>
      <c r="L44" s="172"/>
    </row>
    <row r="45" spans="1:11" ht="9.75" customHeight="1">
      <c r="A45" s="515"/>
      <c r="B45" s="516"/>
      <c r="C45" s="503" t="s">
        <v>123</v>
      </c>
      <c r="D45" s="503"/>
      <c r="E45" s="201"/>
      <c r="F45" s="201"/>
      <c r="G45" s="201"/>
      <c r="H45" s="201"/>
      <c r="I45" s="285"/>
      <c r="K45" s="201"/>
    </row>
    <row r="46" spans="1:11" ht="9.75" customHeight="1">
      <c r="A46" s="517"/>
      <c r="B46" s="518"/>
      <c r="C46" s="503"/>
      <c r="D46" s="503"/>
      <c r="E46" s="202"/>
      <c r="F46" s="202"/>
      <c r="G46" s="202"/>
      <c r="H46" s="202"/>
      <c r="I46" s="286"/>
      <c r="J46" s="429" t="s">
        <v>526</v>
      </c>
      <c r="K46" s="202">
        <f>G44-K44</f>
        <v>-500</v>
      </c>
    </row>
    <row r="47" spans="1:11" ht="19.5" customHeight="1">
      <c r="A47" s="519"/>
      <c r="B47" s="520"/>
      <c r="C47" s="503"/>
      <c r="D47" s="503"/>
      <c r="E47" s="203"/>
      <c r="F47" s="203"/>
      <c r="G47" s="203"/>
      <c r="H47" s="203"/>
      <c r="I47" s="287"/>
      <c r="K47" s="203"/>
    </row>
    <row r="48" spans="1:12" ht="14.25" customHeight="1">
      <c r="A48" s="146"/>
      <c r="B48" s="24">
        <v>412000</v>
      </c>
      <c r="C48" s="32"/>
      <c r="D48" s="33" t="s">
        <v>147</v>
      </c>
      <c r="E48" s="214">
        <f>SUM(E49:E53)</f>
        <v>47900</v>
      </c>
      <c r="F48" s="214">
        <f>SUM(F49:F53)</f>
        <v>-6000</v>
      </c>
      <c r="G48" s="214">
        <f>SUM(G49:G53)</f>
        <v>41900</v>
      </c>
      <c r="H48" s="214">
        <f>G48/E48*100</f>
        <v>87.47390396659708</v>
      </c>
      <c r="I48" s="66">
        <f aca="true" t="shared" si="6" ref="I48:I59">G48/$G$432*100</f>
        <v>0.3033374357489322</v>
      </c>
      <c r="J48" s="214">
        <f>SUM(J49:J53)</f>
        <v>43900</v>
      </c>
      <c r="K48" s="214">
        <f>SUM(K49:K53)</f>
        <v>44900</v>
      </c>
      <c r="L48" s="172"/>
    </row>
    <row r="49" spans="1:12" ht="12.75" customHeight="1">
      <c r="A49" s="146" t="s">
        <v>28</v>
      </c>
      <c r="B49" s="34"/>
      <c r="C49" s="18">
        <v>412700</v>
      </c>
      <c r="D49" s="34" t="s">
        <v>171</v>
      </c>
      <c r="E49" s="229">
        <v>2500</v>
      </c>
      <c r="F49" s="229">
        <f>G49-E49</f>
        <v>-1000</v>
      </c>
      <c r="G49" s="229">
        <v>1500</v>
      </c>
      <c r="H49" s="241">
        <f aca="true" t="shared" si="7" ref="H49:H59">G49/E49*100</f>
        <v>60</v>
      </c>
      <c r="I49" s="373">
        <f t="shared" si="6"/>
        <v>0.010859335408672989</v>
      </c>
      <c r="J49" s="229">
        <v>1500</v>
      </c>
      <c r="K49" s="229">
        <v>2500</v>
      </c>
      <c r="L49" s="172"/>
    </row>
    <row r="50" spans="1:12" ht="12.75" customHeight="1">
      <c r="A50" s="146" t="s">
        <v>38</v>
      </c>
      <c r="B50" s="34"/>
      <c r="C50" s="18">
        <v>412700</v>
      </c>
      <c r="D50" s="34" t="s">
        <v>117</v>
      </c>
      <c r="E50" s="229">
        <v>13000</v>
      </c>
      <c r="F50" s="229">
        <f>G50-E50</f>
        <v>-500</v>
      </c>
      <c r="G50" s="229">
        <v>12500</v>
      </c>
      <c r="H50" s="241">
        <f t="shared" si="7"/>
        <v>96.15384615384616</v>
      </c>
      <c r="I50" s="373">
        <f t="shared" si="6"/>
        <v>0.09049446173894157</v>
      </c>
      <c r="J50" s="229">
        <v>12500</v>
      </c>
      <c r="K50" s="229">
        <v>12500</v>
      </c>
      <c r="L50" s="172"/>
    </row>
    <row r="51" spans="1:12" ht="12.75" customHeight="1">
      <c r="A51" s="146" t="s">
        <v>28</v>
      </c>
      <c r="B51" s="34"/>
      <c r="C51" s="18">
        <v>412900</v>
      </c>
      <c r="D51" s="31" t="s">
        <v>0</v>
      </c>
      <c r="E51" s="229">
        <v>400</v>
      </c>
      <c r="F51" s="229">
        <f>G51-E51</f>
        <v>0</v>
      </c>
      <c r="G51" s="229">
        <v>400</v>
      </c>
      <c r="H51" s="241">
        <f t="shared" si="7"/>
        <v>100</v>
      </c>
      <c r="I51" s="373">
        <f t="shared" si="6"/>
        <v>0.0028958227756461304</v>
      </c>
      <c r="J51" s="229">
        <v>400</v>
      </c>
      <c r="K51" s="229">
        <v>400</v>
      </c>
      <c r="L51" s="172"/>
    </row>
    <row r="52" spans="1:12" ht="12.75" customHeight="1">
      <c r="A52" s="146" t="s">
        <v>28</v>
      </c>
      <c r="B52" s="34"/>
      <c r="C52" s="18">
        <v>412900</v>
      </c>
      <c r="D52" s="35" t="s">
        <v>212</v>
      </c>
      <c r="E52" s="229">
        <v>12000</v>
      </c>
      <c r="F52" s="229">
        <f>G52-E52</f>
        <v>-2500</v>
      </c>
      <c r="G52" s="229">
        <v>9500</v>
      </c>
      <c r="H52" s="241">
        <f t="shared" si="7"/>
        <v>79.16666666666666</v>
      </c>
      <c r="I52" s="373">
        <f t="shared" si="6"/>
        <v>0.0687757909215956</v>
      </c>
      <c r="J52" s="229">
        <v>11500</v>
      </c>
      <c r="K52" s="229">
        <v>11500</v>
      </c>
      <c r="L52" s="446">
        <v>2000</v>
      </c>
    </row>
    <row r="53" spans="1:12" ht="24" customHeight="1">
      <c r="A53" s="146" t="s">
        <v>28</v>
      </c>
      <c r="B53" s="34"/>
      <c r="C53" s="18">
        <v>412900</v>
      </c>
      <c r="D53" s="35" t="s">
        <v>391</v>
      </c>
      <c r="E53" s="229">
        <v>20000</v>
      </c>
      <c r="F53" s="229">
        <f>G53-E53</f>
        <v>-2000</v>
      </c>
      <c r="G53" s="229">
        <v>18000</v>
      </c>
      <c r="H53" s="241">
        <f t="shared" si="7"/>
        <v>90</v>
      </c>
      <c r="I53" s="373">
        <f t="shared" si="6"/>
        <v>0.13031202490407587</v>
      </c>
      <c r="J53" s="229">
        <v>18000</v>
      </c>
      <c r="K53" s="229">
        <v>18000</v>
      </c>
      <c r="L53" s="172"/>
    </row>
    <row r="54" spans="1:12" ht="14.25" customHeight="1">
      <c r="A54" s="146"/>
      <c r="B54" s="34"/>
      <c r="C54" s="18"/>
      <c r="D54" s="47" t="s">
        <v>144</v>
      </c>
      <c r="E54" s="214">
        <f>SUM(E55:E58)</f>
        <v>18000</v>
      </c>
      <c r="F54" s="214">
        <f>SUM(F55:F58)</f>
        <v>0</v>
      </c>
      <c r="G54" s="214">
        <f>SUM(G55:G58)</f>
        <v>18000</v>
      </c>
      <c r="H54" s="214">
        <f t="shared" si="7"/>
        <v>100</v>
      </c>
      <c r="I54" s="66">
        <f t="shared" si="6"/>
        <v>0.13031202490407587</v>
      </c>
      <c r="J54" s="214">
        <f>SUM(J55:J58)</f>
        <v>18000</v>
      </c>
      <c r="K54" s="214">
        <f>SUM(K55:K58)</f>
        <v>18000</v>
      </c>
      <c r="L54" s="172"/>
    </row>
    <row r="55" spans="1:12" ht="14.25" customHeight="1">
      <c r="A55" s="146" t="s">
        <v>41</v>
      </c>
      <c r="B55" s="34"/>
      <c r="C55" s="18">
        <v>412300</v>
      </c>
      <c r="D55" s="35" t="s">
        <v>282</v>
      </c>
      <c r="E55" s="229">
        <v>1000</v>
      </c>
      <c r="F55" s="229">
        <f>G55-E55</f>
        <v>0</v>
      </c>
      <c r="G55" s="229">
        <v>1000</v>
      </c>
      <c r="H55" s="241">
        <f t="shared" si="7"/>
        <v>100</v>
      </c>
      <c r="I55" s="373">
        <f t="shared" si="6"/>
        <v>0.007239556939115326</v>
      </c>
      <c r="J55" s="229">
        <v>1000</v>
      </c>
      <c r="K55" s="229">
        <v>1000</v>
      </c>
      <c r="L55" s="172"/>
    </row>
    <row r="56" spans="1:12" s="8" customFormat="1" ht="24">
      <c r="A56" s="41" t="s">
        <v>41</v>
      </c>
      <c r="B56" s="48"/>
      <c r="C56" s="39">
        <v>412500</v>
      </c>
      <c r="D56" s="35" t="s">
        <v>266</v>
      </c>
      <c r="E56" s="229">
        <v>12000</v>
      </c>
      <c r="F56" s="229">
        <f>G56-E56</f>
        <v>0</v>
      </c>
      <c r="G56" s="229">
        <v>12000</v>
      </c>
      <c r="H56" s="241">
        <f t="shared" si="7"/>
        <v>100</v>
      </c>
      <c r="I56" s="373">
        <f t="shared" si="6"/>
        <v>0.08687468326938391</v>
      </c>
      <c r="J56" s="229">
        <v>12000</v>
      </c>
      <c r="K56" s="229">
        <v>12000</v>
      </c>
      <c r="L56" s="172"/>
    </row>
    <row r="57" spans="1:12" ht="24" customHeight="1">
      <c r="A57" s="146" t="s">
        <v>41</v>
      </c>
      <c r="B57" s="34"/>
      <c r="C57" s="18">
        <v>412900</v>
      </c>
      <c r="D57" s="35" t="s">
        <v>267</v>
      </c>
      <c r="E57" s="229">
        <v>5000</v>
      </c>
      <c r="F57" s="229">
        <f>G57-E57</f>
        <v>0</v>
      </c>
      <c r="G57" s="229">
        <v>5000</v>
      </c>
      <c r="H57" s="241">
        <f t="shared" si="7"/>
        <v>100</v>
      </c>
      <c r="I57" s="373">
        <f t="shared" si="6"/>
        <v>0.03619778469557663</v>
      </c>
      <c r="J57" s="229">
        <v>5000</v>
      </c>
      <c r="K57" s="229">
        <v>5000</v>
      </c>
      <c r="L57" s="172"/>
    </row>
    <row r="58" spans="1:12" ht="22.5" customHeight="1" hidden="1">
      <c r="A58" s="146" t="s">
        <v>41</v>
      </c>
      <c r="B58" s="34"/>
      <c r="C58" s="18">
        <v>412900</v>
      </c>
      <c r="D58" s="35" t="s">
        <v>276</v>
      </c>
      <c r="E58" s="211">
        <v>0</v>
      </c>
      <c r="F58" s="229">
        <f>G58-E58</f>
        <v>0</v>
      </c>
      <c r="G58" s="211">
        <v>0</v>
      </c>
      <c r="H58" s="241" t="e">
        <f t="shared" si="7"/>
        <v>#DIV/0!</v>
      </c>
      <c r="I58" s="373">
        <f t="shared" si="6"/>
        <v>0</v>
      </c>
      <c r="J58" s="211">
        <v>0</v>
      </c>
      <c r="K58" s="211">
        <v>0</v>
      </c>
      <c r="L58" s="172"/>
    </row>
    <row r="59" spans="1:12" ht="27.75" customHeight="1">
      <c r="A59" s="513"/>
      <c r="B59" s="514"/>
      <c r="C59" s="505" t="s">
        <v>87</v>
      </c>
      <c r="D59" s="506"/>
      <c r="E59" s="72">
        <f>E48+E54</f>
        <v>65900</v>
      </c>
      <c r="F59" s="72">
        <f>F48+F54</f>
        <v>-6000</v>
      </c>
      <c r="G59" s="72">
        <f>G48+G54</f>
        <v>59900</v>
      </c>
      <c r="H59" s="382">
        <f t="shared" si="7"/>
        <v>90.89529590288315</v>
      </c>
      <c r="I59" s="381">
        <f t="shared" si="6"/>
        <v>0.433649460653008</v>
      </c>
      <c r="J59" s="72">
        <f>J48+J54</f>
        <v>61900</v>
      </c>
      <c r="K59" s="72">
        <f>K48+K54</f>
        <v>62900</v>
      </c>
      <c r="L59" s="172"/>
    </row>
    <row r="60" spans="1:11" ht="9.75" customHeight="1">
      <c r="A60" s="515"/>
      <c r="B60" s="516"/>
      <c r="C60" s="503" t="s">
        <v>124</v>
      </c>
      <c r="D60" s="503"/>
      <c r="E60" s="201"/>
      <c r="F60" s="201"/>
      <c r="G60" s="201"/>
      <c r="H60" s="201"/>
      <c r="I60" s="285"/>
      <c r="K60" s="201"/>
    </row>
    <row r="61" spans="1:11" ht="9.75" customHeight="1">
      <c r="A61" s="517"/>
      <c r="B61" s="518"/>
      <c r="C61" s="503"/>
      <c r="D61" s="503"/>
      <c r="E61" s="202"/>
      <c r="F61" s="202"/>
      <c r="G61" s="202"/>
      <c r="H61" s="202"/>
      <c r="I61" s="286"/>
      <c r="J61" s="429" t="s">
        <v>526</v>
      </c>
      <c r="K61" s="202">
        <f>G59-K59</f>
        <v>-3000</v>
      </c>
    </row>
    <row r="62" spans="1:11" ht="19.5" customHeight="1">
      <c r="A62" s="519"/>
      <c r="B62" s="520"/>
      <c r="C62" s="503"/>
      <c r="D62" s="503"/>
      <c r="E62" s="203"/>
      <c r="F62" s="203"/>
      <c r="G62" s="203"/>
      <c r="H62" s="203"/>
      <c r="I62" s="287"/>
      <c r="K62" s="203"/>
    </row>
    <row r="63" spans="1:12" ht="25.5" customHeight="1">
      <c r="A63" s="146"/>
      <c r="B63" s="24">
        <v>411000</v>
      </c>
      <c r="C63" s="25"/>
      <c r="D63" s="27" t="s">
        <v>329</v>
      </c>
      <c r="E63" s="64">
        <f>SUM(E64:E67)</f>
        <v>3217600</v>
      </c>
      <c r="F63" s="64">
        <f>SUM(F64:F67)</f>
        <v>-98919</v>
      </c>
      <c r="G63" s="64">
        <f>SUM(G64:G67)</f>
        <v>3118681</v>
      </c>
      <c r="H63" s="214">
        <f>G63/E63*100</f>
        <v>96.92568995524614</v>
      </c>
      <c r="I63" s="66">
        <f aca="true" t="shared" si="8" ref="I63:I75">G63/$G$432*100</f>
        <v>22.577868674437124</v>
      </c>
      <c r="J63" s="64">
        <f>SUM(J64:J67)</f>
        <v>3118681</v>
      </c>
      <c r="K63" s="64">
        <f>SUM(K64:K67)</f>
        <v>3146181</v>
      </c>
      <c r="L63" s="172"/>
    </row>
    <row r="64" spans="1:12" ht="12.75" customHeight="1">
      <c r="A64" s="146" t="s">
        <v>28</v>
      </c>
      <c r="B64" s="34"/>
      <c r="C64" s="18">
        <v>411100</v>
      </c>
      <c r="D64" s="28" t="s">
        <v>419</v>
      </c>
      <c r="E64" s="229">
        <v>2395000</v>
      </c>
      <c r="F64" s="229">
        <f>G64-E64</f>
        <v>110000</v>
      </c>
      <c r="G64" s="229">
        <v>2505000</v>
      </c>
      <c r="H64" s="241">
        <f aca="true" t="shared" si="9" ref="H64:H75">G64/E64*100</f>
        <v>104.59290187891442</v>
      </c>
      <c r="I64" s="373">
        <f t="shared" si="8"/>
        <v>18.135090132483892</v>
      </c>
      <c r="J64" s="229">
        <v>2505000</v>
      </c>
      <c r="K64" s="229">
        <v>2505000</v>
      </c>
      <c r="L64" s="172"/>
    </row>
    <row r="65" spans="1:12" ht="26.25" customHeight="1">
      <c r="A65" s="146" t="s">
        <v>28</v>
      </c>
      <c r="B65" s="34"/>
      <c r="C65" s="18">
        <v>411200</v>
      </c>
      <c r="D65" s="28" t="s">
        <v>426</v>
      </c>
      <c r="E65" s="229">
        <v>587600</v>
      </c>
      <c r="F65" s="229">
        <f>G65-E65</f>
        <v>-21000</v>
      </c>
      <c r="G65" s="229">
        <v>566600</v>
      </c>
      <c r="H65" s="241">
        <f t="shared" si="9"/>
        <v>96.42614023144996</v>
      </c>
      <c r="I65" s="65">
        <f t="shared" si="8"/>
        <v>4.101932961702744</v>
      </c>
      <c r="J65" s="229">
        <v>566600</v>
      </c>
      <c r="K65" s="229">
        <v>587600</v>
      </c>
      <c r="L65" s="427"/>
    </row>
    <row r="66" spans="1:12" ht="23.25" customHeight="1">
      <c r="A66" s="146" t="s">
        <v>28</v>
      </c>
      <c r="B66" s="34"/>
      <c r="C66" s="18">
        <v>411300</v>
      </c>
      <c r="D66" s="28" t="s">
        <v>420</v>
      </c>
      <c r="E66" s="229">
        <v>65000</v>
      </c>
      <c r="F66" s="229">
        <f>G66-E66</f>
        <v>-38000</v>
      </c>
      <c r="G66" s="229">
        <v>27000</v>
      </c>
      <c r="H66" s="241">
        <f t="shared" si="9"/>
        <v>41.53846153846154</v>
      </c>
      <c r="I66" s="65">
        <f t="shared" si="8"/>
        <v>0.19546803735611382</v>
      </c>
      <c r="J66" s="229">
        <v>27000</v>
      </c>
      <c r="K66" s="229">
        <v>33500</v>
      </c>
      <c r="L66" s="427"/>
    </row>
    <row r="67" spans="1:12" ht="12.75" customHeight="1">
      <c r="A67" s="146" t="s">
        <v>28</v>
      </c>
      <c r="B67" s="34"/>
      <c r="C67" s="18">
        <v>411400</v>
      </c>
      <c r="D67" s="30" t="s">
        <v>421</v>
      </c>
      <c r="E67" s="229">
        <v>170000</v>
      </c>
      <c r="F67" s="229">
        <f>G67-E67</f>
        <v>-149919</v>
      </c>
      <c r="G67" s="229">
        <v>20081</v>
      </c>
      <c r="H67" s="241">
        <f t="shared" si="9"/>
        <v>11.81235294117647</v>
      </c>
      <c r="I67" s="65">
        <f t="shared" si="8"/>
        <v>0.14537754289437485</v>
      </c>
      <c r="J67" s="229">
        <v>20081</v>
      </c>
      <c r="K67" s="229">
        <v>20081</v>
      </c>
      <c r="L67" s="427"/>
    </row>
    <row r="68" spans="1:12" ht="14.25" customHeight="1">
      <c r="A68" s="146"/>
      <c r="B68" s="24">
        <v>412000</v>
      </c>
      <c r="C68" s="18"/>
      <c r="D68" s="33" t="s">
        <v>147</v>
      </c>
      <c r="E68" s="214">
        <f>SUM(E69:E72)</f>
        <v>13000</v>
      </c>
      <c r="F68" s="214">
        <f>SUM(F69:F72)</f>
        <v>-200</v>
      </c>
      <c r="G68" s="214">
        <f>SUM(G69:G72)</f>
        <v>12800</v>
      </c>
      <c r="H68" s="214">
        <f t="shared" si="9"/>
        <v>98.46153846153847</v>
      </c>
      <c r="I68" s="66">
        <f t="shared" si="8"/>
        <v>0.09266632882067617</v>
      </c>
      <c r="J68" s="214">
        <f>SUM(J69:J72)</f>
        <v>12800</v>
      </c>
      <c r="K68" s="214">
        <f>SUM(K69:K72)</f>
        <v>12800</v>
      </c>
      <c r="L68" s="172"/>
    </row>
    <row r="69" spans="1:12" ht="12.75" customHeight="1">
      <c r="A69" s="146" t="s">
        <v>28</v>
      </c>
      <c r="B69" s="34"/>
      <c r="C69" s="18">
        <v>412700</v>
      </c>
      <c r="D69" s="34" t="s">
        <v>118</v>
      </c>
      <c r="E69" s="229">
        <v>3800</v>
      </c>
      <c r="F69" s="229">
        <f>G69-E69</f>
        <v>0</v>
      </c>
      <c r="G69" s="229">
        <v>3800</v>
      </c>
      <c r="H69" s="241">
        <f t="shared" si="9"/>
        <v>100</v>
      </c>
      <c r="I69" s="65">
        <f t="shared" si="8"/>
        <v>0.027510316368638238</v>
      </c>
      <c r="J69" s="229">
        <v>3800</v>
      </c>
      <c r="K69" s="229">
        <v>3800</v>
      </c>
      <c r="L69" s="172"/>
    </row>
    <row r="70" spans="1:12" ht="24" customHeight="1">
      <c r="A70" s="146" t="s">
        <v>28</v>
      </c>
      <c r="B70" s="34"/>
      <c r="C70" s="18">
        <v>412700</v>
      </c>
      <c r="D70" s="31" t="s">
        <v>173</v>
      </c>
      <c r="E70" s="229">
        <v>7300</v>
      </c>
      <c r="F70" s="229">
        <f>G70-E70</f>
        <v>0</v>
      </c>
      <c r="G70" s="229">
        <v>7300</v>
      </c>
      <c r="H70" s="241">
        <f t="shared" si="9"/>
        <v>100</v>
      </c>
      <c r="I70" s="65">
        <f t="shared" si="8"/>
        <v>0.05284876565554188</v>
      </c>
      <c r="J70" s="229">
        <v>7300</v>
      </c>
      <c r="K70" s="229">
        <v>7300</v>
      </c>
      <c r="L70" s="172"/>
    </row>
    <row r="71" spans="1:12" ht="12.75" customHeight="1">
      <c r="A71" s="146" t="s">
        <v>28</v>
      </c>
      <c r="B71" s="34"/>
      <c r="C71" s="18">
        <v>412900</v>
      </c>
      <c r="D71" s="31" t="s">
        <v>0</v>
      </c>
      <c r="E71" s="229">
        <v>400</v>
      </c>
      <c r="F71" s="229">
        <f>G71-E71</f>
        <v>0</v>
      </c>
      <c r="G71" s="229">
        <v>400</v>
      </c>
      <c r="H71" s="241">
        <f t="shared" si="9"/>
        <v>100</v>
      </c>
      <c r="I71" s="65">
        <f t="shared" si="8"/>
        <v>0.0028958227756461304</v>
      </c>
      <c r="J71" s="229">
        <v>400</v>
      </c>
      <c r="K71" s="229">
        <v>400</v>
      </c>
      <c r="L71" s="172"/>
    </row>
    <row r="72" spans="1:12" ht="12.75" customHeight="1">
      <c r="A72" s="146" t="s">
        <v>28</v>
      </c>
      <c r="B72" s="34"/>
      <c r="C72" s="18">
        <v>412900</v>
      </c>
      <c r="D72" s="31" t="s">
        <v>172</v>
      </c>
      <c r="E72" s="229">
        <v>1500</v>
      </c>
      <c r="F72" s="229">
        <f>G72-E72</f>
        <v>-200</v>
      </c>
      <c r="G72" s="229">
        <v>1300</v>
      </c>
      <c r="H72" s="241">
        <f t="shared" si="9"/>
        <v>86.66666666666667</v>
      </c>
      <c r="I72" s="65">
        <f t="shared" si="8"/>
        <v>0.009411424020849924</v>
      </c>
      <c r="J72" s="229">
        <v>1300</v>
      </c>
      <c r="K72" s="229">
        <v>1300</v>
      </c>
      <c r="L72" s="172"/>
    </row>
    <row r="73" spans="1:12" ht="26.25" customHeight="1">
      <c r="A73" s="239"/>
      <c r="B73" s="24">
        <v>638000</v>
      </c>
      <c r="C73" s="18"/>
      <c r="D73" s="33" t="s">
        <v>422</v>
      </c>
      <c r="E73" s="64">
        <f>SUM(E74)</f>
        <v>50000</v>
      </c>
      <c r="F73" s="214">
        <f>SUM(F74)</f>
        <v>6000</v>
      </c>
      <c r="G73" s="214">
        <f>SUM(G74)</f>
        <v>56000</v>
      </c>
      <c r="H73" s="214">
        <f t="shared" si="9"/>
        <v>112.00000000000001</v>
      </c>
      <c r="I73" s="66">
        <f t="shared" si="8"/>
        <v>0.4054151885904583</v>
      </c>
      <c r="J73" s="214">
        <f>SUM(J74)</f>
        <v>56000</v>
      </c>
      <c r="K73" s="214">
        <f>SUM(K74)</f>
        <v>50000</v>
      </c>
      <c r="L73" s="172"/>
    </row>
    <row r="74" spans="1:12" ht="35.25" customHeight="1">
      <c r="A74" s="146"/>
      <c r="B74" s="34"/>
      <c r="C74" s="18">
        <v>638100</v>
      </c>
      <c r="D74" s="31" t="s">
        <v>423</v>
      </c>
      <c r="E74" s="71">
        <v>50000</v>
      </c>
      <c r="F74" s="71">
        <f>G74-E74</f>
        <v>6000</v>
      </c>
      <c r="G74" s="71">
        <v>56000</v>
      </c>
      <c r="H74" s="241">
        <f t="shared" si="9"/>
        <v>112.00000000000001</v>
      </c>
      <c r="I74" s="65">
        <f t="shared" si="8"/>
        <v>0.4054151885904583</v>
      </c>
      <c r="J74" s="71">
        <v>56000</v>
      </c>
      <c r="K74" s="71">
        <v>50000</v>
      </c>
      <c r="L74" s="172"/>
    </row>
    <row r="75" spans="1:214" ht="30" customHeight="1">
      <c r="A75" s="513"/>
      <c r="B75" s="514"/>
      <c r="C75" s="505" t="s">
        <v>84</v>
      </c>
      <c r="D75" s="506"/>
      <c r="E75" s="72">
        <f>E63+E68+E73</f>
        <v>3280600</v>
      </c>
      <c r="F75" s="72">
        <f>F63+F68+F73</f>
        <v>-93119</v>
      </c>
      <c r="G75" s="72">
        <f>G63+G68+G73</f>
        <v>3187481</v>
      </c>
      <c r="H75" s="382">
        <f t="shared" si="9"/>
        <v>97.16152533073218</v>
      </c>
      <c r="I75" s="102">
        <f t="shared" si="8"/>
        <v>23.07595019184826</v>
      </c>
      <c r="J75" s="72">
        <f>J63+J68+J73</f>
        <v>3187481</v>
      </c>
      <c r="K75" s="72">
        <f>K63+K68+K73</f>
        <v>3208981</v>
      </c>
      <c r="L75" s="172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</row>
    <row r="76" spans="1:214" s="107" customFormat="1" ht="9.75" customHeight="1">
      <c r="A76" s="507"/>
      <c r="B76" s="508"/>
      <c r="C76" s="503" t="s">
        <v>125</v>
      </c>
      <c r="D76" s="503"/>
      <c r="E76" s="201"/>
      <c r="F76" s="201"/>
      <c r="G76" s="201"/>
      <c r="H76" s="201"/>
      <c r="I76" s="285"/>
      <c r="J76" s="61"/>
      <c r="K76" s="20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</row>
    <row r="77" spans="1:11" s="61" customFormat="1" ht="9.75" customHeight="1">
      <c r="A77" s="509"/>
      <c r="B77" s="510"/>
      <c r="C77" s="503"/>
      <c r="D77" s="503"/>
      <c r="E77" s="202"/>
      <c r="F77" s="202"/>
      <c r="G77" s="202"/>
      <c r="H77" s="202"/>
      <c r="I77" s="286"/>
      <c r="J77" s="430" t="s">
        <v>526</v>
      </c>
      <c r="K77" s="202">
        <f>G75-K75</f>
        <v>-21500</v>
      </c>
    </row>
    <row r="78" spans="1:11" s="61" customFormat="1" ht="9.75" customHeight="1">
      <c r="A78" s="509"/>
      <c r="B78" s="510"/>
      <c r="C78" s="503"/>
      <c r="D78" s="503"/>
      <c r="E78" s="202"/>
      <c r="F78" s="202"/>
      <c r="G78" s="202"/>
      <c r="H78" s="202"/>
      <c r="I78" s="286"/>
      <c r="K78" s="202"/>
    </row>
    <row r="79" spans="1:214" s="108" customFormat="1" ht="19.5" customHeight="1">
      <c r="A79" s="511"/>
      <c r="B79" s="512"/>
      <c r="C79" s="503"/>
      <c r="D79" s="503"/>
      <c r="E79" s="203"/>
      <c r="F79" s="203"/>
      <c r="G79" s="203"/>
      <c r="H79" s="203"/>
      <c r="I79" s="287"/>
      <c r="J79" s="61"/>
      <c r="K79" s="203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</row>
    <row r="80" spans="1:214" ht="14.25" customHeight="1">
      <c r="A80" s="146"/>
      <c r="B80" s="24">
        <v>412000</v>
      </c>
      <c r="C80" s="18"/>
      <c r="D80" s="33" t="s">
        <v>147</v>
      </c>
      <c r="E80" s="214">
        <f>SUM(E81:E82)</f>
        <v>60400</v>
      </c>
      <c r="F80" s="214">
        <f>SUM(F81:F82)</f>
        <v>17550</v>
      </c>
      <c r="G80" s="214">
        <f>SUM(G81:G82)</f>
        <v>77950</v>
      </c>
      <c r="H80" s="214">
        <f>G80/E80*100</f>
        <v>129.05629139072846</v>
      </c>
      <c r="I80" s="66">
        <f aca="true" t="shared" si="10" ref="I80:I121">G80/$G$432*100</f>
        <v>0.5643234634040397</v>
      </c>
      <c r="J80" s="214">
        <f>SUM(J81:J82)</f>
        <v>77950</v>
      </c>
      <c r="K80" s="214">
        <f>SUM(K81:K82)</f>
        <v>60400</v>
      </c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</row>
    <row r="81" spans="1:11" ht="13.5" customHeight="1">
      <c r="A81" s="146" t="s">
        <v>28</v>
      </c>
      <c r="B81" s="32"/>
      <c r="C81" s="34">
        <v>412700</v>
      </c>
      <c r="D81" s="31" t="s">
        <v>106</v>
      </c>
      <c r="E81" s="229">
        <v>60000</v>
      </c>
      <c r="F81" s="229">
        <f>G81-E81</f>
        <v>17550</v>
      </c>
      <c r="G81" s="322">
        <v>77550</v>
      </c>
      <c r="H81" s="241">
        <f aca="true" t="shared" si="11" ref="H81:H121">G81/E81*100</f>
        <v>129.25</v>
      </c>
      <c r="I81" s="373">
        <f t="shared" si="10"/>
        <v>0.5614276406283936</v>
      </c>
      <c r="J81" s="442">
        <v>77550</v>
      </c>
      <c r="K81" s="442">
        <v>60000</v>
      </c>
    </row>
    <row r="82" spans="1:11" ht="12.75" customHeight="1">
      <c r="A82" s="146" t="s">
        <v>28</v>
      </c>
      <c r="B82" s="34"/>
      <c r="C82" s="18">
        <v>412900</v>
      </c>
      <c r="D82" s="31" t="s">
        <v>29</v>
      </c>
      <c r="E82" s="229">
        <v>400</v>
      </c>
      <c r="F82" s="229">
        <f>G82-E82</f>
        <v>0</v>
      </c>
      <c r="G82" s="229">
        <v>400</v>
      </c>
      <c r="H82" s="241">
        <f t="shared" si="11"/>
        <v>100</v>
      </c>
      <c r="I82" s="65">
        <f t="shared" si="10"/>
        <v>0.0028958227756461304</v>
      </c>
      <c r="J82" s="229">
        <v>400</v>
      </c>
      <c r="K82" s="229">
        <v>400</v>
      </c>
    </row>
    <row r="83" spans="1:13" ht="14.25" customHeight="1">
      <c r="A83" s="146"/>
      <c r="B83" s="24">
        <v>415000</v>
      </c>
      <c r="C83" s="34"/>
      <c r="D83" s="33" t="s">
        <v>161</v>
      </c>
      <c r="E83" s="296">
        <f>SUM(E84:E110)</f>
        <v>581000</v>
      </c>
      <c r="F83" s="296">
        <f>SUM(F84:F110)</f>
        <v>65069</v>
      </c>
      <c r="G83" s="296">
        <f>SUM(G84:G110)</f>
        <v>646069</v>
      </c>
      <c r="H83" s="214">
        <f t="shared" si="11"/>
        <v>111.19948364888124</v>
      </c>
      <c r="I83" s="66">
        <f t="shared" si="10"/>
        <v>4.677253312097299</v>
      </c>
      <c r="J83" s="296">
        <f>SUM(J84:J110)</f>
        <v>624877.52</v>
      </c>
      <c r="K83" s="296">
        <f>SUM(K84:K110)</f>
        <v>634219</v>
      </c>
      <c r="M83" s="172"/>
    </row>
    <row r="84" spans="1:11" ht="12.75" customHeight="1">
      <c r="A84" s="146" t="s">
        <v>32</v>
      </c>
      <c r="B84" s="34"/>
      <c r="C84" s="62">
        <v>415200</v>
      </c>
      <c r="D84" s="50" t="s">
        <v>235</v>
      </c>
      <c r="E84" s="322">
        <v>4000</v>
      </c>
      <c r="F84" s="322">
        <f>G84-E84</f>
        <v>-750</v>
      </c>
      <c r="G84" s="322">
        <v>3250</v>
      </c>
      <c r="H84" s="241">
        <f t="shared" si="11"/>
        <v>81.25</v>
      </c>
      <c r="I84" s="65">
        <f t="shared" si="10"/>
        <v>0.023528560052124812</v>
      </c>
      <c r="J84" s="322">
        <v>3250</v>
      </c>
      <c r="K84" s="322">
        <v>3600</v>
      </c>
    </row>
    <row r="85" spans="1:11" ht="12" customHeight="1">
      <c r="A85" s="146" t="s">
        <v>34</v>
      </c>
      <c r="B85" s="34"/>
      <c r="C85" s="62">
        <v>415200</v>
      </c>
      <c r="D85" s="31" t="s">
        <v>35</v>
      </c>
      <c r="E85" s="322">
        <v>35000</v>
      </c>
      <c r="F85" s="322">
        <f aca="true" t="shared" si="12" ref="F85:F110">G85-E85</f>
        <v>0</v>
      </c>
      <c r="G85" s="322">
        <v>35000</v>
      </c>
      <c r="H85" s="241">
        <f t="shared" si="11"/>
        <v>100</v>
      </c>
      <c r="I85" s="65">
        <f t="shared" si="10"/>
        <v>0.2533844928690364</v>
      </c>
      <c r="J85" s="322">
        <v>31500</v>
      </c>
      <c r="K85" s="322">
        <v>31500</v>
      </c>
    </row>
    <row r="86" spans="1:11" ht="12.75" customHeight="1" hidden="1">
      <c r="A86" s="146" t="s">
        <v>34</v>
      </c>
      <c r="B86" s="34"/>
      <c r="C86" s="62">
        <v>415200</v>
      </c>
      <c r="D86" s="31" t="s">
        <v>383</v>
      </c>
      <c r="E86" s="322">
        <v>0</v>
      </c>
      <c r="F86" s="322">
        <f t="shared" si="12"/>
        <v>0</v>
      </c>
      <c r="G86" s="322">
        <v>0</v>
      </c>
      <c r="H86" s="241" t="e">
        <f t="shared" si="11"/>
        <v>#DIV/0!</v>
      </c>
      <c r="I86" s="65">
        <f t="shared" si="10"/>
        <v>0</v>
      </c>
      <c r="J86" s="322">
        <v>0</v>
      </c>
      <c r="K86" s="322">
        <v>0</v>
      </c>
    </row>
    <row r="87" spans="1:11" ht="12.75" customHeight="1">
      <c r="A87" s="146" t="s">
        <v>36</v>
      </c>
      <c r="B87" s="34"/>
      <c r="C87" s="62">
        <v>415200</v>
      </c>
      <c r="D87" s="35" t="s">
        <v>297</v>
      </c>
      <c r="E87" s="322">
        <v>180000</v>
      </c>
      <c r="F87" s="322">
        <f t="shared" si="12"/>
        <v>-2000</v>
      </c>
      <c r="G87" s="322">
        <v>178000</v>
      </c>
      <c r="H87" s="241">
        <f t="shared" si="11"/>
        <v>98.88888888888889</v>
      </c>
      <c r="I87" s="65">
        <f t="shared" si="10"/>
        <v>1.2886411351625282</v>
      </c>
      <c r="J87" s="322">
        <v>178000</v>
      </c>
      <c r="K87" s="322">
        <v>180000</v>
      </c>
    </row>
    <row r="88" spans="1:11" ht="22.5" customHeight="1">
      <c r="A88" s="146" t="s">
        <v>36</v>
      </c>
      <c r="B88" s="34"/>
      <c r="C88" s="62">
        <v>415200</v>
      </c>
      <c r="D88" s="35" t="s">
        <v>546</v>
      </c>
      <c r="E88" s="322">
        <v>0</v>
      </c>
      <c r="F88" s="322">
        <f t="shared" si="12"/>
        <v>19600</v>
      </c>
      <c r="G88" s="322">
        <v>19600</v>
      </c>
      <c r="H88" s="241" t="e">
        <f t="shared" si="11"/>
        <v>#DIV/0!</v>
      </c>
      <c r="I88" s="65">
        <f t="shared" si="10"/>
        <v>0.1418953160066604</v>
      </c>
      <c r="J88" s="322">
        <v>18600</v>
      </c>
      <c r="K88" s="322">
        <v>19600</v>
      </c>
    </row>
    <row r="89" spans="1:11" ht="23.25" customHeight="1">
      <c r="A89" s="146" t="s">
        <v>37</v>
      </c>
      <c r="B89" s="34"/>
      <c r="C89" s="62">
        <v>415200</v>
      </c>
      <c r="D89" s="31" t="s">
        <v>119</v>
      </c>
      <c r="E89" s="322">
        <v>15000</v>
      </c>
      <c r="F89" s="322">
        <f t="shared" si="12"/>
        <v>-1000</v>
      </c>
      <c r="G89" s="322">
        <v>14000</v>
      </c>
      <c r="H89" s="241">
        <f t="shared" si="11"/>
        <v>93.33333333333333</v>
      </c>
      <c r="I89" s="65">
        <f t="shared" si="10"/>
        <v>0.10135379714761457</v>
      </c>
      <c r="J89" s="322">
        <v>14000</v>
      </c>
      <c r="K89" s="322">
        <v>14000</v>
      </c>
    </row>
    <row r="90" spans="1:11" ht="25.5" customHeight="1">
      <c r="A90" s="146" t="s">
        <v>37</v>
      </c>
      <c r="B90" s="34"/>
      <c r="C90" s="62">
        <v>415200</v>
      </c>
      <c r="D90" s="31" t="s">
        <v>274</v>
      </c>
      <c r="E90" s="322">
        <v>0</v>
      </c>
      <c r="F90" s="322">
        <f t="shared" si="12"/>
        <v>12950</v>
      </c>
      <c r="G90" s="322">
        <v>12950</v>
      </c>
      <c r="H90" s="241" t="e">
        <f t="shared" si="11"/>
        <v>#DIV/0!</v>
      </c>
      <c r="I90" s="65">
        <f t="shared" si="10"/>
        <v>0.09375226236154348</v>
      </c>
      <c r="J90" s="322">
        <v>10650</v>
      </c>
      <c r="K90" s="322">
        <v>12950</v>
      </c>
    </row>
    <row r="91" spans="1:11" ht="13.5" customHeight="1">
      <c r="A91" s="41" t="s">
        <v>34</v>
      </c>
      <c r="B91" s="34"/>
      <c r="C91" s="62">
        <v>415200</v>
      </c>
      <c r="D91" s="31" t="s">
        <v>450</v>
      </c>
      <c r="E91" s="322">
        <v>8000</v>
      </c>
      <c r="F91" s="322">
        <f t="shared" si="12"/>
        <v>-800</v>
      </c>
      <c r="G91" s="322">
        <v>7200</v>
      </c>
      <c r="H91" s="241">
        <f t="shared" si="11"/>
        <v>90</v>
      </c>
      <c r="I91" s="65">
        <f t="shared" si="10"/>
        <v>0.052124809961630346</v>
      </c>
      <c r="J91" s="322">
        <v>7200</v>
      </c>
      <c r="K91" s="322">
        <v>7200</v>
      </c>
    </row>
    <row r="92" spans="1:11" ht="21" customHeight="1">
      <c r="A92" s="41" t="s">
        <v>34</v>
      </c>
      <c r="B92" s="34"/>
      <c r="C92" s="62">
        <v>415200</v>
      </c>
      <c r="D92" s="31" t="s">
        <v>543</v>
      </c>
      <c r="E92" s="322">
        <v>0</v>
      </c>
      <c r="F92" s="322">
        <f t="shared" si="12"/>
        <v>500</v>
      </c>
      <c r="G92" s="322">
        <v>500</v>
      </c>
      <c r="H92" s="241" t="e">
        <f t="shared" si="11"/>
        <v>#DIV/0!</v>
      </c>
      <c r="I92" s="65">
        <f t="shared" si="10"/>
        <v>0.003619778469557663</v>
      </c>
      <c r="J92" s="322"/>
      <c r="K92" s="322">
        <v>500</v>
      </c>
    </row>
    <row r="93" spans="1:11" ht="21" customHeight="1">
      <c r="A93" s="41" t="s">
        <v>34</v>
      </c>
      <c r="B93" s="34"/>
      <c r="C93" s="62">
        <v>415200</v>
      </c>
      <c r="D93" s="31" t="s">
        <v>452</v>
      </c>
      <c r="E93" s="322">
        <v>4000</v>
      </c>
      <c r="F93" s="322">
        <f t="shared" si="12"/>
        <v>-400</v>
      </c>
      <c r="G93" s="322">
        <v>3600</v>
      </c>
      <c r="H93" s="241">
        <f t="shared" si="11"/>
        <v>90</v>
      </c>
      <c r="I93" s="65">
        <f t="shared" si="10"/>
        <v>0.026062404980815173</v>
      </c>
      <c r="J93" s="322">
        <v>3600</v>
      </c>
      <c r="K93" s="322">
        <v>3600</v>
      </c>
    </row>
    <row r="94" spans="1:11" ht="13.5" customHeight="1">
      <c r="A94" s="41" t="s">
        <v>453</v>
      </c>
      <c r="B94" s="34"/>
      <c r="C94" s="62">
        <v>415200</v>
      </c>
      <c r="D94" s="31" t="s">
        <v>451</v>
      </c>
      <c r="E94" s="322">
        <v>6000</v>
      </c>
      <c r="F94" s="322">
        <f t="shared" si="12"/>
        <v>-600</v>
      </c>
      <c r="G94" s="322">
        <v>5400</v>
      </c>
      <c r="H94" s="241">
        <f t="shared" si="11"/>
        <v>90</v>
      </c>
      <c r="I94" s="65">
        <f t="shared" si="10"/>
        <v>0.03909360747122276</v>
      </c>
      <c r="J94" s="322">
        <v>5400</v>
      </c>
      <c r="K94" s="322">
        <v>5400</v>
      </c>
    </row>
    <row r="95" spans="1:11" ht="12.75" customHeight="1">
      <c r="A95" s="146" t="s">
        <v>37</v>
      </c>
      <c r="B95" s="34"/>
      <c r="C95" s="62">
        <v>415200</v>
      </c>
      <c r="D95" s="31" t="s">
        <v>120</v>
      </c>
      <c r="E95" s="322">
        <v>20000</v>
      </c>
      <c r="F95" s="322">
        <f t="shared" si="12"/>
        <v>-2000</v>
      </c>
      <c r="G95" s="322">
        <v>18000</v>
      </c>
      <c r="H95" s="241">
        <f t="shared" si="11"/>
        <v>90</v>
      </c>
      <c r="I95" s="65">
        <f t="shared" si="10"/>
        <v>0.13031202490407587</v>
      </c>
      <c r="J95" s="322">
        <v>18000</v>
      </c>
      <c r="K95" s="322">
        <v>18000</v>
      </c>
    </row>
    <row r="96" spans="1:11" ht="24">
      <c r="A96" s="146" t="s">
        <v>37</v>
      </c>
      <c r="B96" s="34"/>
      <c r="C96" s="62">
        <v>415200</v>
      </c>
      <c r="D96" s="31" t="s">
        <v>346</v>
      </c>
      <c r="E96" s="322">
        <v>10000</v>
      </c>
      <c r="F96" s="322">
        <f t="shared" si="12"/>
        <v>0</v>
      </c>
      <c r="G96" s="322">
        <v>10000</v>
      </c>
      <c r="H96" s="241">
        <f t="shared" si="11"/>
        <v>100</v>
      </c>
      <c r="I96" s="65">
        <f t="shared" si="10"/>
        <v>0.07239556939115326</v>
      </c>
      <c r="J96" s="322">
        <v>9908.52</v>
      </c>
      <c r="K96" s="322">
        <v>10000</v>
      </c>
    </row>
    <row r="97" spans="1:11" ht="24">
      <c r="A97" s="146" t="s">
        <v>37</v>
      </c>
      <c r="B97" s="34"/>
      <c r="C97" s="62">
        <v>415200</v>
      </c>
      <c r="D97" s="31" t="s">
        <v>535</v>
      </c>
      <c r="E97" s="322">
        <v>0</v>
      </c>
      <c r="F97" s="322">
        <f t="shared" si="12"/>
        <v>5000</v>
      </c>
      <c r="G97" s="322">
        <v>5000</v>
      </c>
      <c r="H97" s="241" t="e">
        <f t="shared" si="11"/>
        <v>#DIV/0!</v>
      </c>
      <c r="I97" s="65">
        <f t="shared" si="10"/>
        <v>0.03619778469557663</v>
      </c>
      <c r="J97" s="322"/>
      <c r="K97" s="322">
        <v>5000</v>
      </c>
    </row>
    <row r="98" spans="1:11" ht="12.75" customHeight="1">
      <c r="A98" s="146" t="s">
        <v>37</v>
      </c>
      <c r="B98" s="34"/>
      <c r="C98" s="62">
        <v>415200</v>
      </c>
      <c r="D98" s="31" t="s">
        <v>101</v>
      </c>
      <c r="E98" s="322">
        <v>30000</v>
      </c>
      <c r="F98" s="322">
        <f t="shared" si="12"/>
        <v>-3000</v>
      </c>
      <c r="G98" s="322">
        <v>27000</v>
      </c>
      <c r="H98" s="241">
        <f t="shared" si="11"/>
        <v>90</v>
      </c>
      <c r="I98" s="65">
        <f t="shared" si="10"/>
        <v>0.19546803735611382</v>
      </c>
      <c r="J98" s="322">
        <v>27000</v>
      </c>
      <c r="K98" s="322">
        <v>27000</v>
      </c>
    </row>
    <row r="99" spans="1:11" ht="12.75" customHeight="1">
      <c r="A99" s="146" t="s">
        <v>37</v>
      </c>
      <c r="B99" s="34"/>
      <c r="C99" s="62">
        <v>415200</v>
      </c>
      <c r="D99" s="31" t="s">
        <v>510</v>
      </c>
      <c r="E99" s="322">
        <v>0</v>
      </c>
      <c r="F99" s="322">
        <f t="shared" si="12"/>
        <v>3000</v>
      </c>
      <c r="G99" s="322">
        <v>3000</v>
      </c>
      <c r="H99" s="241" t="e">
        <f t="shared" si="11"/>
        <v>#DIV/0!</v>
      </c>
      <c r="I99" s="65">
        <f t="shared" si="10"/>
        <v>0.021718670817345978</v>
      </c>
      <c r="J99" s="322">
        <v>3000</v>
      </c>
      <c r="K99" s="322">
        <v>3000</v>
      </c>
    </row>
    <row r="100" spans="1:11" ht="24.75" customHeight="1">
      <c r="A100" s="146" t="s">
        <v>37</v>
      </c>
      <c r="B100" s="34"/>
      <c r="C100" s="62">
        <v>415200</v>
      </c>
      <c r="D100" s="31" t="s">
        <v>98</v>
      </c>
      <c r="E100" s="322">
        <v>4000</v>
      </c>
      <c r="F100" s="322">
        <f t="shared" si="12"/>
        <v>-4000</v>
      </c>
      <c r="G100" s="322">
        <v>0</v>
      </c>
      <c r="H100" s="241">
        <f t="shared" si="11"/>
        <v>0</v>
      </c>
      <c r="I100" s="65">
        <f t="shared" si="10"/>
        <v>0</v>
      </c>
      <c r="J100" s="322">
        <v>0</v>
      </c>
      <c r="K100" s="322">
        <v>0</v>
      </c>
    </row>
    <row r="101" spans="1:11" ht="24.75" customHeight="1">
      <c r="A101" s="146" t="s">
        <v>48</v>
      </c>
      <c r="B101" s="24"/>
      <c r="C101" s="62">
        <v>415200</v>
      </c>
      <c r="D101" s="45" t="s">
        <v>221</v>
      </c>
      <c r="E101" s="322">
        <v>40000</v>
      </c>
      <c r="F101" s="322">
        <f t="shared" si="12"/>
        <v>-4000</v>
      </c>
      <c r="G101" s="322">
        <v>36000</v>
      </c>
      <c r="H101" s="241">
        <f t="shared" si="11"/>
        <v>90</v>
      </c>
      <c r="I101" s="65">
        <f t="shared" si="10"/>
        <v>0.26062404980815174</v>
      </c>
      <c r="J101" s="322">
        <v>36000</v>
      </c>
      <c r="K101" s="322">
        <v>36000</v>
      </c>
    </row>
    <row r="102" spans="1:11" ht="24.75" customHeight="1">
      <c r="A102" s="146" t="s">
        <v>48</v>
      </c>
      <c r="B102" s="24"/>
      <c r="C102" s="62">
        <v>415200</v>
      </c>
      <c r="D102" s="35" t="s">
        <v>273</v>
      </c>
      <c r="E102" s="322">
        <v>0</v>
      </c>
      <c r="F102" s="322">
        <f t="shared" si="12"/>
        <v>11350</v>
      </c>
      <c r="G102" s="322">
        <v>11350</v>
      </c>
      <c r="H102" s="241" t="e">
        <f t="shared" si="11"/>
        <v>#DIV/0!</v>
      </c>
      <c r="I102" s="65">
        <f t="shared" si="10"/>
        <v>0.08216897125895896</v>
      </c>
      <c r="J102" s="322">
        <v>11350</v>
      </c>
      <c r="K102" s="322">
        <v>11350</v>
      </c>
    </row>
    <row r="103" spans="1:11" ht="12.75">
      <c r="A103" s="146" t="s">
        <v>38</v>
      </c>
      <c r="B103" s="34"/>
      <c r="C103" s="18">
        <v>415200</v>
      </c>
      <c r="D103" s="31" t="s">
        <v>99</v>
      </c>
      <c r="E103" s="322">
        <v>25000</v>
      </c>
      <c r="F103" s="322">
        <f t="shared" si="12"/>
        <v>19919</v>
      </c>
      <c r="G103" s="322">
        <v>44919</v>
      </c>
      <c r="H103" s="241">
        <f t="shared" si="11"/>
        <v>179.676</v>
      </c>
      <c r="I103" s="65">
        <f t="shared" si="10"/>
        <v>0.32519365814812135</v>
      </c>
      <c r="J103" s="322">
        <v>44919</v>
      </c>
      <c r="K103" s="322">
        <v>44919</v>
      </c>
    </row>
    <row r="104" spans="1:11" ht="12.75">
      <c r="A104" s="41" t="s">
        <v>214</v>
      </c>
      <c r="B104" s="48"/>
      <c r="C104" s="39">
        <v>415200</v>
      </c>
      <c r="D104" s="35" t="s">
        <v>222</v>
      </c>
      <c r="E104" s="322">
        <v>40000</v>
      </c>
      <c r="F104" s="322">
        <f t="shared" si="12"/>
        <v>-4000</v>
      </c>
      <c r="G104" s="322">
        <v>36000</v>
      </c>
      <c r="H104" s="241">
        <f t="shared" si="11"/>
        <v>90</v>
      </c>
      <c r="I104" s="65">
        <f t="shared" si="10"/>
        <v>0.26062404980815174</v>
      </c>
      <c r="J104" s="322">
        <v>36000</v>
      </c>
      <c r="K104" s="322">
        <v>36000</v>
      </c>
    </row>
    <row r="105" spans="1:11" ht="24" customHeight="1">
      <c r="A105" s="41" t="s">
        <v>34</v>
      </c>
      <c r="B105" s="48"/>
      <c r="C105" s="39">
        <v>415200</v>
      </c>
      <c r="D105" s="35" t="s">
        <v>249</v>
      </c>
      <c r="E105" s="322">
        <v>45000</v>
      </c>
      <c r="F105" s="322">
        <f t="shared" si="12"/>
        <v>-4500</v>
      </c>
      <c r="G105" s="322">
        <v>40500</v>
      </c>
      <c r="H105" s="241">
        <f t="shared" si="11"/>
        <v>90</v>
      </c>
      <c r="I105" s="65">
        <f t="shared" si="10"/>
        <v>0.2932020560341707</v>
      </c>
      <c r="J105" s="322">
        <v>40500</v>
      </c>
      <c r="K105" s="322">
        <v>40500</v>
      </c>
    </row>
    <row r="106" spans="1:11" ht="12.75" customHeight="1">
      <c r="A106" s="146" t="s">
        <v>39</v>
      </c>
      <c r="B106" s="34"/>
      <c r="C106" s="18">
        <v>415200</v>
      </c>
      <c r="D106" s="31" t="s">
        <v>100</v>
      </c>
      <c r="E106" s="322">
        <v>75000</v>
      </c>
      <c r="F106" s="322">
        <f t="shared" si="12"/>
        <v>0</v>
      </c>
      <c r="G106" s="322">
        <v>75000</v>
      </c>
      <c r="H106" s="241">
        <f t="shared" si="11"/>
        <v>100</v>
      </c>
      <c r="I106" s="65">
        <f t="shared" si="10"/>
        <v>0.5429667704336495</v>
      </c>
      <c r="J106" s="322">
        <v>67500</v>
      </c>
      <c r="K106" s="322">
        <v>67500</v>
      </c>
    </row>
    <row r="107" spans="1:11" ht="12.75" customHeight="1">
      <c r="A107" s="146" t="s">
        <v>39</v>
      </c>
      <c r="B107" s="34"/>
      <c r="C107" s="18">
        <v>415200</v>
      </c>
      <c r="D107" s="31" t="s">
        <v>272</v>
      </c>
      <c r="E107" s="322">
        <v>0</v>
      </c>
      <c r="F107" s="322">
        <f t="shared" si="12"/>
        <v>1000</v>
      </c>
      <c r="G107" s="322">
        <v>1000</v>
      </c>
      <c r="H107" s="241" t="e">
        <f t="shared" si="11"/>
        <v>#DIV/0!</v>
      </c>
      <c r="I107" s="65">
        <f t="shared" si="10"/>
        <v>0.007239556939115326</v>
      </c>
      <c r="J107" s="322">
        <v>1000</v>
      </c>
      <c r="K107" s="322">
        <v>1000</v>
      </c>
    </row>
    <row r="108" spans="1:11" ht="39" customHeight="1">
      <c r="A108" s="146" t="s">
        <v>189</v>
      </c>
      <c r="B108" s="116"/>
      <c r="C108" s="18">
        <v>415200</v>
      </c>
      <c r="D108" s="44" t="s">
        <v>344</v>
      </c>
      <c r="E108" s="322">
        <v>20000</v>
      </c>
      <c r="F108" s="322">
        <f t="shared" si="12"/>
        <v>2000</v>
      </c>
      <c r="G108" s="322">
        <v>22000</v>
      </c>
      <c r="H108" s="241">
        <f t="shared" si="11"/>
        <v>110.00000000000001</v>
      </c>
      <c r="I108" s="65">
        <f t="shared" si="10"/>
        <v>0.15927025266053718</v>
      </c>
      <c r="J108" s="322">
        <v>22000</v>
      </c>
      <c r="K108" s="322">
        <v>18000</v>
      </c>
    </row>
    <row r="109" spans="1:11" ht="36">
      <c r="A109" s="146" t="s">
        <v>37</v>
      </c>
      <c r="B109" s="116"/>
      <c r="C109" s="18">
        <v>415200</v>
      </c>
      <c r="D109" s="44" t="s">
        <v>298</v>
      </c>
      <c r="E109" s="322">
        <v>20000</v>
      </c>
      <c r="F109" s="322">
        <f t="shared" si="12"/>
        <v>-800</v>
      </c>
      <c r="G109" s="322">
        <v>19200</v>
      </c>
      <c r="H109" s="241">
        <f t="shared" si="11"/>
        <v>96</v>
      </c>
      <c r="I109" s="65">
        <f t="shared" si="10"/>
        <v>0.13899949323101427</v>
      </c>
      <c r="J109" s="322">
        <v>19200</v>
      </c>
      <c r="K109" s="322">
        <v>20000</v>
      </c>
    </row>
    <row r="110" spans="1:11" ht="37.5" customHeight="1">
      <c r="A110" s="146" t="s">
        <v>37</v>
      </c>
      <c r="B110" s="116"/>
      <c r="C110" s="18">
        <v>415200</v>
      </c>
      <c r="D110" s="44" t="s">
        <v>468</v>
      </c>
      <c r="E110" s="322">
        <v>0</v>
      </c>
      <c r="F110" s="322">
        <f t="shared" si="12"/>
        <v>17600</v>
      </c>
      <c r="G110" s="322">
        <v>17600</v>
      </c>
      <c r="H110" s="241" t="e">
        <f t="shared" si="11"/>
        <v>#DIV/0!</v>
      </c>
      <c r="I110" s="65">
        <f t="shared" si="10"/>
        <v>0.12741620212842975</v>
      </c>
      <c r="J110" s="322">
        <v>16300</v>
      </c>
      <c r="K110" s="322">
        <v>17600</v>
      </c>
    </row>
    <row r="111" spans="1:11" ht="14.25" customHeight="1">
      <c r="A111" s="146"/>
      <c r="B111" s="77">
        <v>416000</v>
      </c>
      <c r="C111" s="32"/>
      <c r="D111" s="60" t="s">
        <v>1</v>
      </c>
      <c r="E111" s="214">
        <f>SUM(E112:E116)</f>
        <v>338000</v>
      </c>
      <c r="F111" s="214">
        <f>SUM(F112:F116)</f>
        <v>30350</v>
      </c>
      <c r="G111" s="214">
        <f>SUM(G112:G116)</f>
        <v>368350</v>
      </c>
      <c r="H111" s="214">
        <f t="shared" si="11"/>
        <v>108.9792899408284</v>
      </c>
      <c r="I111" s="66">
        <f t="shared" si="10"/>
        <v>2.6666907985231303</v>
      </c>
      <c r="J111" s="214">
        <f>SUM(J112:J116)</f>
        <v>378750</v>
      </c>
      <c r="K111" s="214">
        <f>SUM(K112:K116)</f>
        <v>374550</v>
      </c>
    </row>
    <row r="112" spans="1:11" ht="12.75">
      <c r="A112" s="41" t="s">
        <v>178</v>
      </c>
      <c r="B112" s="34"/>
      <c r="C112" s="18">
        <v>416100</v>
      </c>
      <c r="D112" s="31" t="s">
        <v>208</v>
      </c>
      <c r="E112" s="211">
        <v>300000</v>
      </c>
      <c r="F112" s="211">
        <f>G112-E112</f>
        <v>-6200</v>
      </c>
      <c r="G112" s="211">
        <v>293800</v>
      </c>
      <c r="H112" s="241">
        <f t="shared" si="11"/>
        <v>97.93333333333332</v>
      </c>
      <c r="I112" s="65">
        <f t="shared" si="10"/>
        <v>2.1269818287120827</v>
      </c>
      <c r="J112" s="211">
        <v>293800</v>
      </c>
      <c r="K112" s="211">
        <v>300000</v>
      </c>
    </row>
    <row r="113" spans="1:11" ht="12.75">
      <c r="A113" s="41" t="s">
        <v>34</v>
      </c>
      <c r="B113" s="43"/>
      <c r="C113" s="18">
        <v>416100</v>
      </c>
      <c r="D113" s="44" t="s">
        <v>107</v>
      </c>
      <c r="E113" s="211">
        <v>15000</v>
      </c>
      <c r="F113" s="211">
        <f>G113-E113</f>
        <v>0</v>
      </c>
      <c r="G113" s="211">
        <v>15000</v>
      </c>
      <c r="H113" s="241">
        <f t="shared" si="11"/>
        <v>100</v>
      </c>
      <c r="I113" s="65">
        <f t="shared" si="10"/>
        <v>0.10859335408672989</v>
      </c>
      <c r="J113" s="211">
        <v>15000</v>
      </c>
      <c r="K113" s="211">
        <v>15000</v>
      </c>
    </row>
    <row r="114" spans="1:11" ht="12.75" customHeight="1">
      <c r="A114" s="41" t="s">
        <v>34</v>
      </c>
      <c r="B114" s="43"/>
      <c r="C114" s="18">
        <v>416100</v>
      </c>
      <c r="D114" s="44" t="s">
        <v>271</v>
      </c>
      <c r="E114" s="211">
        <v>0</v>
      </c>
      <c r="F114" s="211">
        <f>G114-E114</f>
        <v>36550</v>
      </c>
      <c r="G114" s="211">
        <v>36550</v>
      </c>
      <c r="H114" s="241" t="e">
        <f t="shared" si="11"/>
        <v>#DIV/0!</v>
      </c>
      <c r="I114" s="65">
        <f t="shared" si="10"/>
        <v>0.26460580612466517</v>
      </c>
      <c r="J114" s="211">
        <v>32950</v>
      </c>
      <c r="K114" s="211">
        <v>36550</v>
      </c>
    </row>
    <row r="115" spans="1:11" ht="24" customHeight="1">
      <c r="A115" s="41" t="s">
        <v>188</v>
      </c>
      <c r="B115" s="43"/>
      <c r="C115" s="18">
        <v>416100</v>
      </c>
      <c r="D115" s="44" t="s">
        <v>204</v>
      </c>
      <c r="E115" s="229">
        <v>20000</v>
      </c>
      <c r="F115" s="211">
        <f>G115-E115</f>
        <v>0</v>
      </c>
      <c r="G115" s="322">
        <v>20000</v>
      </c>
      <c r="H115" s="241">
        <f t="shared" si="11"/>
        <v>100</v>
      </c>
      <c r="I115" s="373">
        <f t="shared" si="10"/>
        <v>0.1447911387823065</v>
      </c>
      <c r="J115" s="442">
        <v>34000</v>
      </c>
      <c r="K115" s="442">
        <v>20000</v>
      </c>
    </row>
    <row r="116" spans="1:11" ht="24" customHeight="1">
      <c r="A116" s="41" t="s">
        <v>188</v>
      </c>
      <c r="B116" s="43"/>
      <c r="C116" s="18">
        <v>416100</v>
      </c>
      <c r="D116" s="44" t="s">
        <v>304</v>
      </c>
      <c r="E116" s="71">
        <v>3000</v>
      </c>
      <c r="F116" s="211">
        <f>G116-E116</f>
        <v>0</v>
      </c>
      <c r="G116" s="71">
        <v>3000</v>
      </c>
      <c r="H116" s="241">
        <f t="shared" si="11"/>
        <v>100</v>
      </c>
      <c r="I116" s="65">
        <f t="shared" si="10"/>
        <v>0.021718670817345978</v>
      </c>
      <c r="J116" s="71">
        <v>3000</v>
      </c>
      <c r="K116" s="71">
        <v>3000</v>
      </c>
    </row>
    <row r="117" spans="1:11" ht="15" customHeight="1">
      <c r="A117" s="315"/>
      <c r="B117" s="77">
        <v>487000</v>
      </c>
      <c r="C117" s="316"/>
      <c r="D117" s="318" t="s">
        <v>446</v>
      </c>
      <c r="E117" s="64">
        <f>SUM(E118:E120)</f>
        <v>18000</v>
      </c>
      <c r="F117" s="64">
        <f>SUM(F118:F120)</f>
        <v>10095.5</v>
      </c>
      <c r="G117" s="64">
        <f>SUM(G118:G120)</f>
        <v>28095.5</v>
      </c>
      <c r="H117" s="214">
        <f t="shared" si="11"/>
        <v>156.0861111111111</v>
      </c>
      <c r="I117" s="66">
        <f t="shared" si="10"/>
        <v>0.20339897198291462</v>
      </c>
      <c r="J117" s="64">
        <f>SUM(J118:J120)</f>
        <v>27345.5</v>
      </c>
      <c r="K117" s="64">
        <f>SUM(K118:K120)</f>
        <v>28095.5</v>
      </c>
    </row>
    <row r="118" spans="1:11" ht="13.5" customHeight="1">
      <c r="A118" s="315" t="s">
        <v>32</v>
      </c>
      <c r="B118" s="77"/>
      <c r="C118" s="316">
        <v>487900</v>
      </c>
      <c r="D118" s="50" t="s">
        <v>174</v>
      </c>
      <c r="E118" s="211">
        <v>8000</v>
      </c>
      <c r="F118" s="211">
        <f>G118-E118</f>
        <v>6000</v>
      </c>
      <c r="G118" s="211">
        <v>14000</v>
      </c>
      <c r="H118" s="241">
        <f t="shared" si="11"/>
        <v>175</v>
      </c>
      <c r="I118" s="319">
        <f t="shared" si="10"/>
        <v>0.10135379714761457</v>
      </c>
      <c r="J118" s="211">
        <v>14000</v>
      </c>
      <c r="K118" s="211">
        <v>14000</v>
      </c>
    </row>
    <row r="119" spans="1:11" ht="15" customHeight="1">
      <c r="A119" s="41" t="s">
        <v>32</v>
      </c>
      <c r="B119" s="43"/>
      <c r="C119" s="316">
        <v>487900</v>
      </c>
      <c r="D119" s="50" t="s">
        <v>275</v>
      </c>
      <c r="E119" s="211">
        <v>0</v>
      </c>
      <c r="F119" s="211">
        <f>G119-E119</f>
        <v>4095.5</v>
      </c>
      <c r="G119" s="211">
        <v>4095.5</v>
      </c>
      <c r="H119" s="241" t="e">
        <f t="shared" si="11"/>
        <v>#DIV/0!</v>
      </c>
      <c r="I119" s="317">
        <f t="shared" si="10"/>
        <v>0.02964960544414682</v>
      </c>
      <c r="J119" s="211">
        <v>3345.5</v>
      </c>
      <c r="K119" s="211">
        <v>4095.5</v>
      </c>
    </row>
    <row r="120" spans="1:11" ht="15.75" customHeight="1">
      <c r="A120" s="146" t="s">
        <v>32</v>
      </c>
      <c r="B120" s="34"/>
      <c r="C120" s="62">
        <v>487900</v>
      </c>
      <c r="D120" s="50" t="s">
        <v>345</v>
      </c>
      <c r="E120" s="211">
        <v>10000</v>
      </c>
      <c r="F120" s="211">
        <f>G120-E120</f>
        <v>0</v>
      </c>
      <c r="G120" s="211">
        <v>10000</v>
      </c>
      <c r="H120" s="241">
        <f t="shared" si="11"/>
        <v>100</v>
      </c>
      <c r="I120" s="65">
        <f t="shared" si="10"/>
        <v>0.07239556939115326</v>
      </c>
      <c r="J120" s="211">
        <v>10000</v>
      </c>
      <c r="K120" s="211">
        <v>10000</v>
      </c>
    </row>
    <row r="121" spans="1:11" ht="30" customHeight="1">
      <c r="A121" s="519"/>
      <c r="B121" s="520"/>
      <c r="C121" s="521" t="s">
        <v>244</v>
      </c>
      <c r="D121" s="522"/>
      <c r="E121" s="219">
        <f>E80+E83+E111+E117</f>
        <v>997400</v>
      </c>
      <c r="F121" s="219">
        <f>F80+F83+F111+F117</f>
        <v>123064.5</v>
      </c>
      <c r="G121" s="219">
        <f>G80+G83+G111+G117</f>
        <v>1120464.5</v>
      </c>
      <c r="H121" s="382">
        <f t="shared" si="11"/>
        <v>112.338530178464</v>
      </c>
      <c r="I121" s="220">
        <f t="shared" si="10"/>
        <v>8.111666546007385</v>
      </c>
      <c r="J121" s="219">
        <f>J80+J83+J111+J117</f>
        <v>1108923.02</v>
      </c>
      <c r="K121" s="219">
        <f>K80+K83+K111+K117</f>
        <v>1097264.5</v>
      </c>
    </row>
    <row r="122" spans="1:11" ht="9.75" customHeight="1">
      <c r="A122" s="515"/>
      <c r="B122" s="516"/>
      <c r="C122" s="503" t="s">
        <v>126</v>
      </c>
      <c r="D122" s="503"/>
      <c r="E122" s="201"/>
      <c r="F122" s="201"/>
      <c r="G122" s="201"/>
      <c r="H122" s="201"/>
      <c r="I122" s="285"/>
      <c r="K122" s="201"/>
    </row>
    <row r="123" spans="1:11" ht="9.75" customHeight="1">
      <c r="A123" s="517"/>
      <c r="B123" s="518"/>
      <c r="C123" s="503"/>
      <c r="D123" s="503"/>
      <c r="E123" s="202"/>
      <c r="F123" s="202"/>
      <c r="G123" s="202"/>
      <c r="H123" s="202"/>
      <c r="I123" s="286"/>
      <c r="J123" s="429" t="s">
        <v>526</v>
      </c>
      <c r="K123" s="202">
        <f>G121-K121</f>
        <v>23200</v>
      </c>
    </row>
    <row r="124" spans="1:11" ht="19.5" customHeight="1">
      <c r="A124" s="519"/>
      <c r="B124" s="520"/>
      <c r="C124" s="503"/>
      <c r="D124" s="503"/>
      <c r="E124" s="203"/>
      <c r="F124" s="203"/>
      <c r="G124" s="203"/>
      <c r="H124" s="203"/>
      <c r="I124" s="287"/>
      <c r="K124" s="203"/>
    </row>
    <row r="125" spans="1:11" ht="14.25" customHeight="1">
      <c r="A125" s="146"/>
      <c r="B125" s="24">
        <v>412000</v>
      </c>
      <c r="C125" s="32"/>
      <c r="D125" s="33" t="s">
        <v>147</v>
      </c>
      <c r="E125" s="214">
        <f>SUM(E126:E129)</f>
        <v>83400</v>
      </c>
      <c r="F125" s="214">
        <f>SUM(F126:F129)</f>
        <v>-12500</v>
      </c>
      <c r="G125" s="214">
        <f>SUM(G126:G129)</f>
        <v>70900</v>
      </c>
      <c r="H125" s="214">
        <f aca="true" t="shared" si="13" ref="H125:H130">G125/E125*100</f>
        <v>85.01199040767386</v>
      </c>
      <c r="I125" s="66">
        <f aca="true" t="shared" si="14" ref="I125:I130">G125/$G$432*100</f>
        <v>0.5132845869832766</v>
      </c>
      <c r="J125" s="214">
        <f>SUM(J126:J129)</f>
        <v>70900</v>
      </c>
      <c r="K125" s="214">
        <f>SUM(K126:K129)</f>
        <v>82100</v>
      </c>
    </row>
    <row r="126" spans="1:12" ht="24.75" customHeight="1">
      <c r="A126" s="146" t="s">
        <v>40</v>
      </c>
      <c r="B126" s="24"/>
      <c r="C126" s="18">
        <v>412700</v>
      </c>
      <c r="D126" s="31" t="s">
        <v>195</v>
      </c>
      <c r="E126" s="229">
        <v>18000</v>
      </c>
      <c r="F126" s="229">
        <f>G126-E126</f>
        <v>-6000</v>
      </c>
      <c r="G126" s="229">
        <v>12000</v>
      </c>
      <c r="H126" s="241">
        <f t="shared" si="13"/>
        <v>66.66666666666666</v>
      </c>
      <c r="I126" s="65">
        <f t="shared" si="14"/>
        <v>0.08687468326938391</v>
      </c>
      <c r="J126" s="229">
        <v>12000</v>
      </c>
      <c r="K126" s="229">
        <v>18000</v>
      </c>
      <c r="L126" s="172"/>
    </row>
    <row r="127" spans="1:13" ht="25.5" customHeight="1">
      <c r="A127" s="146" t="s">
        <v>40</v>
      </c>
      <c r="B127" s="24"/>
      <c r="C127" s="18">
        <v>412700</v>
      </c>
      <c r="D127" s="31" t="s">
        <v>109</v>
      </c>
      <c r="E127" s="229">
        <v>50000</v>
      </c>
      <c r="F127" s="229">
        <f>G127-E127</f>
        <v>-18500</v>
      </c>
      <c r="G127" s="229">
        <v>31500</v>
      </c>
      <c r="H127" s="241">
        <f t="shared" si="13"/>
        <v>63</v>
      </c>
      <c r="I127" s="65">
        <f t="shared" si="14"/>
        <v>0.22804604358213276</v>
      </c>
      <c r="J127" s="229">
        <v>31500</v>
      </c>
      <c r="K127" s="229">
        <v>36700</v>
      </c>
      <c r="L127" s="172"/>
      <c r="M127" s="172"/>
    </row>
    <row r="128" spans="1:11" ht="12.75">
      <c r="A128" s="146" t="s">
        <v>28</v>
      </c>
      <c r="B128" s="34"/>
      <c r="C128" s="18">
        <v>412900</v>
      </c>
      <c r="D128" s="31" t="s">
        <v>29</v>
      </c>
      <c r="E128" s="229">
        <v>400</v>
      </c>
      <c r="F128" s="229">
        <f>G128-E128</f>
        <v>0</v>
      </c>
      <c r="G128" s="229">
        <v>400</v>
      </c>
      <c r="H128" s="241">
        <f t="shared" si="13"/>
        <v>100</v>
      </c>
      <c r="I128" s="65">
        <f t="shared" si="14"/>
        <v>0.0028958227756461304</v>
      </c>
      <c r="J128" s="229">
        <v>400</v>
      </c>
      <c r="K128" s="229">
        <v>400</v>
      </c>
    </row>
    <row r="129" spans="1:12" ht="24" customHeight="1">
      <c r="A129" s="146" t="s">
        <v>28</v>
      </c>
      <c r="B129" s="34"/>
      <c r="C129" s="18">
        <v>412900</v>
      </c>
      <c r="D129" s="31" t="s">
        <v>108</v>
      </c>
      <c r="E129" s="229">
        <v>15000</v>
      </c>
      <c r="F129" s="229">
        <f>G129-E129</f>
        <v>12000</v>
      </c>
      <c r="G129" s="229">
        <v>27000</v>
      </c>
      <c r="H129" s="241">
        <f t="shared" si="13"/>
        <v>180</v>
      </c>
      <c r="I129" s="65">
        <f t="shared" si="14"/>
        <v>0.19546803735611382</v>
      </c>
      <c r="J129" s="229">
        <v>27000</v>
      </c>
      <c r="K129" s="229">
        <v>27000</v>
      </c>
      <c r="L129" s="172"/>
    </row>
    <row r="130" spans="1:11" ht="30" customHeight="1">
      <c r="A130" s="513"/>
      <c r="B130" s="514"/>
      <c r="C130" s="505" t="s">
        <v>250</v>
      </c>
      <c r="D130" s="506"/>
      <c r="E130" s="72">
        <f>E125</f>
        <v>83400</v>
      </c>
      <c r="F130" s="72">
        <f>F125</f>
        <v>-12500</v>
      </c>
      <c r="G130" s="72">
        <f>G125</f>
        <v>70900</v>
      </c>
      <c r="H130" s="382">
        <f t="shared" si="13"/>
        <v>85.01199040767386</v>
      </c>
      <c r="I130" s="102">
        <f t="shared" si="14"/>
        <v>0.5132845869832766</v>
      </c>
      <c r="J130" s="72">
        <f>J125</f>
        <v>70900</v>
      </c>
      <c r="K130" s="72">
        <f>K125</f>
        <v>82100</v>
      </c>
    </row>
    <row r="131" spans="1:11" ht="9.75" customHeight="1">
      <c r="A131" s="515"/>
      <c r="B131" s="516"/>
      <c r="C131" s="503" t="s">
        <v>127</v>
      </c>
      <c r="D131" s="503"/>
      <c r="E131" s="201"/>
      <c r="F131" s="201"/>
      <c r="G131" s="201"/>
      <c r="H131" s="201"/>
      <c r="I131" s="285"/>
      <c r="K131" s="201"/>
    </row>
    <row r="132" spans="1:11" ht="9.75" customHeight="1">
      <c r="A132" s="517"/>
      <c r="B132" s="518"/>
      <c r="C132" s="503"/>
      <c r="D132" s="503"/>
      <c r="E132" s="202"/>
      <c r="F132" s="202"/>
      <c r="G132" s="202"/>
      <c r="H132" s="202"/>
      <c r="I132" s="286"/>
      <c r="J132" s="429" t="s">
        <v>526</v>
      </c>
      <c r="K132" s="202">
        <f>G130-K130</f>
        <v>-11200</v>
      </c>
    </row>
    <row r="133" spans="1:11" ht="9.75" customHeight="1">
      <c r="A133" s="517"/>
      <c r="B133" s="518"/>
      <c r="C133" s="503"/>
      <c r="D133" s="503"/>
      <c r="E133" s="202"/>
      <c r="F133" s="202"/>
      <c r="G133" s="202"/>
      <c r="H133" s="202"/>
      <c r="I133" s="286"/>
      <c r="K133" s="202"/>
    </row>
    <row r="134" spans="1:11" ht="19.5" customHeight="1">
      <c r="A134" s="519"/>
      <c r="B134" s="520"/>
      <c r="C134" s="503"/>
      <c r="D134" s="503"/>
      <c r="E134" s="203"/>
      <c r="F134" s="203"/>
      <c r="G134" s="203"/>
      <c r="H134" s="203"/>
      <c r="I134" s="287"/>
      <c r="K134" s="203"/>
    </row>
    <row r="135" spans="1:11" ht="14.25" customHeight="1">
      <c r="A135" s="146"/>
      <c r="B135" s="24">
        <v>412000</v>
      </c>
      <c r="C135" s="37"/>
      <c r="D135" s="33" t="s">
        <v>147</v>
      </c>
      <c r="E135" s="214">
        <f>SUM(E136:E141)</f>
        <v>171600</v>
      </c>
      <c r="F135" s="214">
        <f>SUM(F136:F141)</f>
        <v>-26140</v>
      </c>
      <c r="G135" s="214">
        <f>SUM(G136:G141)</f>
        <v>145460</v>
      </c>
      <c r="H135" s="214">
        <f>G135/E135*100</f>
        <v>84.76689976689975</v>
      </c>
      <c r="I135" s="66">
        <f aca="true" t="shared" si="15" ref="I135:I165">G135/$G$432*100</f>
        <v>1.0530659523637154</v>
      </c>
      <c r="J135" s="214">
        <f>SUM(J136:J141)</f>
        <v>145460</v>
      </c>
      <c r="K135" s="214">
        <f>SUM(K136:K141)</f>
        <v>145460</v>
      </c>
    </row>
    <row r="136" spans="1:11" ht="25.5" customHeight="1">
      <c r="A136" s="146" t="s">
        <v>32</v>
      </c>
      <c r="B136" s="24"/>
      <c r="C136" s="18">
        <v>412100</v>
      </c>
      <c r="D136" s="31" t="s">
        <v>449</v>
      </c>
      <c r="E136" s="229">
        <v>42000</v>
      </c>
      <c r="F136" s="229">
        <f aca="true" t="shared" si="16" ref="F136:F141">G136-E136</f>
        <v>-10410</v>
      </c>
      <c r="G136" s="229">
        <v>31590</v>
      </c>
      <c r="H136" s="241">
        <f aca="true" t="shared" si="17" ref="H136:H165">G136/E136*100</f>
        <v>75.21428571428571</v>
      </c>
      <c r="I136" s="65">
        <f t="shared" si="15"/>
        <v>0.22869760370665318</v>
      </c>
      <c r="J136" s="229">
        <v>31590</v>
      </c>
      <c r="K136" s="229">
        <v>31590</v>
      </c>
    </row>
    <row r="137" spans="1:11" ht="14.25" customHeight="1">
      <c r="A137" s="146" t="s">
        <v>28</v>
      </c>
      <c r="B137" s="24"/>
      <c r="C137" s="18">
        <v>412100</v>
      </c>
      <c r="D137" s="31" t="s">
        <v>278</v>
      </c>
      <c r="E137" s="229">
        <v>40000</v>
      </c>
      <c r="F137" s="229">
        <f t="shared" si="16"/>
        <v>-9490</v>
      </c>
      <c r="G137" s="229">
        <v>30510</v>
      </c>
      <c r="H137" s="241">
        <f t="shared" si="17"/>
        <v>76.275</v>
      </c>
      <c r="I137" s="65">
        <f t="shared" si="15"/>
        <v>0.2208788822124086</v>
      </c>
      <c r="J137" s="229">
        <v>30510</v>
      </c>
      <c r="K137" s="229">
        <v>30510</v>
      </c>
    </row>
    <row r="138" spans="1:11" ht="14.25" customHeight="1">
      <c r="A138" s="146" t="s">
        <v>28</v>
      </c>
      <c r="B138" s="24"/>
      <c r="C138" s="18">
        <v>412200</v>
      </c>
      <c r="D138" s="31" t="s">
        <v>279</v>
      </c>
      <c r="E138" s="211">
        <v>12000</v>
      </c>
      <c r="F138" s="229">
        <f t="shared" si="16"/>
        <v>-180</v>
      </c>
      <c r="G138" s="211">
        <v>11820</v>
      </c>
      <c r="H138" s="241">
        <f t="shared" si="17"/>
        <v>98.5</v>
      </c>
      <c r="I138" s="65">
        <f t="shared" si="15"/>
        <v>0.08557156302034316</v>
      </c>
      <c r="J138" s="211">
        <v>11820</v>
      </c>
      <c r="K138" s="211">
        <v>11820</v>
      </c>
    </row>
    <row r="139" spans="1:11" ht="12.75" customHeight="1">
      <c r="A139" s="41" t="s">
        <v>28</v>
      </c>
      <c r="B139" s="34"/>
      <c r="C139" s="48">
        <v>412700</v>
      </c>
      <c r="D139" s="35" t="s">
        <v>196</v>
      </c>
      <c r="E139" s="211">
        <v>7000</v>
      </c>
      <c r="F139" s="229">
        <f t="shared" si="16"/>
        <v>0</v>
      </c>
      <c r="G139" s="211">
        <v>7000</v>
      </c>
      <c r="H139" s="241">
        <f t="shared" si="17"/>
        <v>100</v>
      </c>
      <c r="I139" s="65">
        <f t="shared" si="15"/>
        <v>0.050676898573807284</v>
      </c>
      <c r="J139" s="211">
        <v>7000</v>
      </c>
      <c r="K139" s="211">
        <v>7000</v>
      </c>
    </row>
    <row r="140" spans="1:11" ht="23.25" customHeight="1">
      <c r="A140" s="146" t="s">
        <v>28</v>
      </c>
      <c r="B140" s="34"/>
      <c r="C140" s="18">
        <v>412900</v>
      </c>
      <c r="D140" s="31" t="s">
        <v>280</v>
      </c>
      <c r="E140" s="211">
        <v>70000</v>
      </c>
      <c r="F140" s="229">
        <f t="shared" si="16"/>
        <v>-6050</v>
      </c>
      <c r="G140" s="211">
        <v>63950</v>
      </c>
      <c r="H140" s="241">
        <f t="shared" si="17"/>
        <v>91.35714285714286</v>
      </c>
      <c r="I140" s="65">
        <f t="shared" si="15"/>
        <v>0.4629696662564251</v>
      </c>
      <c r="J140" s="211">
        <v>63950</v>
      </c>
      <c r="K140" s="211">
        <v>63950</v>
      </c>
    </row>
    <row r="141" spans="1:11" ht="12.75" customHeight="1">
      <c r="A141" s="146" t="s">
        <v>28</v>
      </c>
      <c r="B141" s="34"/>
      <c r="C141" s="18">
        <v>412900</v>
      </c>
      <c r="D141" s="31" t="s">
        <v>0</v>
      </c>
      <c r="E141" s="229">
        <v>600</v>
      </c>
      <c r="F141" s="229">
        <f t="shared" si="16"/>
        <v>-10</v>
      </c>
      <c r="G141" s="229">
        <v>590</v>
      </c>
      <c r="H141" s="241">
        <f t="shared" si="17"/>
        <v>98.33333333333333</v>
      </c>
      <c r="I141" s="65">
        <f t="shared" si="15"/>
        <v>0.004271338594078042</v>
      </c>
      <c r="J141" s="229">
        <v>590</v>
      </c>
      <c r="K141" s="229">
        <v>590</v>
      </c>
    </row>
    <row r="142" spans="1:11" ht="14.25" customHeight="1">
      <c r="A142" s="146"/>
      <c r="B142" s="24"/>
      <c r="C142" s="18"/>
      <c r="D142" s="33" t="s">
        <v>218</v>
      </c>
      <c r="E142" s="214">
        <f>SUM(E143:E150)</f>
        <v>520000</v>
      </c>
      <c r="F142" s="214">
        <f>SUM(F143:F150)</f>
        <v>109850.99</v>
      </c>
      <c r="G142" s="214">
        <f>SUM(G143:G150)</f>
        <v>629850.99</v>
      </c>
      <c r="H142" s="214">
        <f t="shared" si="17"/>
        <v>121.12519038461538</v>
      </c>
      <c r="I142" s="66">
        <f t="shared" si="15"/>
        <v>4.559842105263158</v>
      </c>
      <c r="J142" s="214">
        <f>SUM(J143:J150)</f>
        <v>629850.99</v>
      </c>
      <c r="K142" s="214">
        <f>SUM(K143:K150)</f>
        <v>599850.99</v>
      </c>
    </row>
    <row r="143" spans="1:11" ht="81" customHeight="1">
      <c r="A143" s="41" t="s">
        <v>42</v>
      </c>
      <c r="B143" s="34"/>
      <c r="C143" s="39">
        <v>412800</v>
      </c>
      <c r="D143" s="35" t="s">
        <v>239</v>
      </c>
      <c r="E143" s="229">
        <v>140000</v>
      </c>
      <c r="F143" s="229">
        <f>G143-E143</f>
        <v>0</v>
      </c>
      <c r="G143" s="229">
        <v>140000</v>
      </c>
      <c r="H143" s="241">
        <f t="shared" si="17"/>
        <v>100</v>
      </c>
      <c r="I143" s="65">
        <f t="shared" si="15"/>
        <v>1.0135379714761457</v>
      </c>
      <c r="J143" s="229">
        <v>140000</v>
      </c>
      <c r="K143" s="229">
        <v>140000</v>
      </c>
    </row>
    <row r="144" spans="1:11" ht="37.5" customHeight="1">
      <c r="A144" s="41" t="s">
        <v>42</v>
      </c>
      <c r="B144" s="34"/>
      <c r="C144" s="39">
        <v>412800</v>
      </c>
      <c r="D144" s="35" t="s">
        <v>240</v>
      </c>
      <c r="E144" s="229">
        <v>30000</v>
      </c>
      <c r="F144" s="229">
        <f aca="true" t="shared" si="18" ref="F144:F150">G144-E144</f>
        <v>500</v>
      </c>
      <c r="G144" s="229">
        <v>30500</v>
      </c>
      <c r="H144" s="241">
        <f t="shared" si="17"/>
        <v>101.66666666666666</v>
      </c>
      <c r="I144" s="65">
        <f t="shared" si="15"/>
        <v>0.22080648664301747</v>
      </c>
      <c r="J144" s="229">
        <v>30500</v>
      </c>
      <c r="K144" s="229">
        <v>30500</v>
      </c>
    </row>
    <row r="145" spans="1:11" ht="22.5" customHeight="1">
      <c r="A145" s="41" t="s">
        <v>42</v>
      </c>
      <c r="B145" s="34"/>
      <c r="C145" s="39">
        <v>412800</v>
      </c>
      <c r="D145" s="35" t="s">
        <v>110</v>
      </c>
      <c r="E145" s="229">
        <v>160000</v>
      </c>
      <c r="F145" s="229">
        <f t="shared" si="18"/>
        <v>75000</v>
      </c>
      <c r="G145" s="229">
        <v>235000</v>
      </c>
      <c r="H145" s="241">
        <f t="shared" si="17"/>
        <v>146.875</v>
      </c>
      <c r="I145" s="65">
        <f t="shared" si="15"/>
        <v>1.7012958806921017</v>
      </c>
      <c r="J145" s="229">
        <v>235000</v>
      </c>
      <c r="K145" s="229">
        <v>235000</v>
      </c>
    </row>
    <row r="146" spans="1:11" ht="24.75" customHeight="1">
      <c r="A146" s="41" t="s">
        <v>42</v>
      </c>
      <c r="B146" s="34"/>
      <c r="C146" s="39">
        <v>412800</v>
      </c>
      <c r="D146" s="35" t="s">
        <v>132</v>
      </c>
      <c r="E146" s="229">
        <v>120000</v>
      </c>
      <c r="F146" s="229">
        <f t="shared" si="18"/>
        <v>32000</v>
      </c>
      <c r="G146" s="322">
        <v>152000</v>
      </c>
      <c r="H146" s="241">
        <f t="shared" si="17"/>
        <v>126.66666666666666</v>
      </c>
      <c r="I146" s="373">
        <f t="shared" si="15"/>
        <v>1.1004126547455295</v>
      </c>
      <c r="J146" s="442">
        <v>152000</v>
      </c>
      <c r="K146" s="442">
        <v>122000</v>
      </c>
    </row>
    <row r="147" spans="1:11" ht="24.75" customHeight="1">
      <c r="A147" s="41" t="s">
        <v>42</v>
      </c>
      <c r="B147" s="34"/>
      <c r="C147" s="39">
        <v>412800</v>
      </c>
      <c r="D147" s="35" t="s">
        <v>299</v>
      </c>
      <c r="E147" s="211">
        <v>25000</v>
      </c>
      <c r="F147" s="229">
        <f t="shared" si="18"/>
        <v>18000</v>
      </c>
      <c r="G147" s="211">
        <v>43000</v>
      </c>
      <c r="H147" s="241">
        <f t="shared" si="17"/>
        <v>172</v>
      </c>
      <c r="I147" s="65">
        <f t="shared" si="15"/>
        <v>0.31130094838195904</v>
      </c>
      <c r="J147" s="211">
        <v>43000</v>
      </c>
      <c r="K147" s="211">
        <v>43000</v>
      </c>
    </row>
    <row r="148" spans="1:11" ht="12.75">
      <c r="A148" s="41" t="s">
        <v>42</v>
      </c>
      <c r="B148" s="34"/>
      <c r="C148" s="34">
        <v>412800</v>
      </c>
      <c r="D148" s="45" t="s">
        <v>210</v>
      </c>
      <c r="E148" s="211">
        <v>5000</v>
      </c>
      <c r="F148" s="229">
        <f t="shared" si="18"/>
        <v>0</v>
      </c>
      <c r="G148" s="211">
        <v>5000</v>
      </c>
      <c r="H148" s="241">
        <f t="shared" si="17"/>
        <v>100</v>
      </c>
      <c r="I148" s="65">
        <f t="shared" si="15"/>
        <v>0.03619778469557663</v>
      </c>
      <c r="J148" s="211">
        <v>5000</v>
      </c>
      <c r="K148" s="211">
        <v>5000</v>
      </c>
    </row>
    <row r="149" spans="1:11" ht="12.75">
      <c r="A149" s="41" t="s">
        <v>42</v>
      </c>
      <c r="B149" s="34"/>
      <c r="C149" s="39">
        <v>412800</v>
      </c>
      <c r="D149" s="35" t="s">
        <v>43</v>
      </c>
      <c r="E149" s="211">
        <v>20000</v>
      </c>
      <c r="F149" s="229">
        <f t="shared" si="18"/>
        <v>-14299.01</v>
      </c>
      <c r="G149" s="211">
        <v>5700.99</v>
      </c>
      <c r="H149" s="241">
        <f t="shared" si="17"/>
        <v>28.50495</v>
      </c>
      <c r="I149" s="65">
        <f t="shared" si="15"/>
        <v>0.04127264171432708</v>
      </c>
      <c r="J149" s="211">
        <v>5700.99</v>
      </c>
      <c r="K149" s="211">
        <v>5700.99</v>
      </c>
    </row>
    <row r="150" spans="1:11" ht="25.5" customHeight="1">
      <c r="A150" s="41" t="s">
        <v>42</v>
      </c>
      <c r="B150" s="34"/>
      <c r="C150" s="39">
        <v>412900</v>
      </c>
      <c r="D150" s="35" t="s">
        <v>142</v>
      </c>
      <c r="E150" s="212">
        <v>20000</v>
      </c>
      <c r="F150" s="229">
        <f t="shared" si="18"/>
        <v>-1350</v>
      </c>
      <c r="G150" s="212">
        <v>18650</v>
      </c>
      <c r="H150" s="241">
        <f t="shared" si="17"/>
        <v>93.25</v>
      </c>
      <c r="I150" s="65">
        <f t="shared" si="15"/>
        <v>0.13501773691450084</v>
      </c>
      <c r="J150" s="212">
        <v>18650</v>
      </c>
      <c r="K150" s="212">
        <v>18650</v>
      </c>
    </row>
    <row r="151" spans="1:11" ht="14.25" customHeight="1">
      <c r="A151" s="146"/>
      <c r="B151" s="34"/>
      <c r="C151" s="46"/>
      <c r="D151" s="47" t="s">
        <v>44</v>
      </c>
      <c r="E151" s="214">
        <f>SUM(E152:E157)</f>
        <v>275000</v>
      </c>
      <c r="F151" s="214">
        <f>SUM(F152:F157)</f>
        <v>-14850.989999999998</v>
      </c>
      <c r="G151" s="214">
        <f>SUM(G152:G157)</f>
        <v>260149.01</v>
      </c>
      <c r="H151" s="214">
        <f t="shared" si="17"/>
        <v>94.59964000000001</v>
      </c>
      <c r="I151" s="66">
        <f t="shared" si="15"/>
        <v>1.8833635705494824</v>
      </c>
      <c r="J151" s="214">
        <f>SUM(J152:J157)</f>
        <v>242149.01</v>
      </c>
      <c r="K151" s="214">
        <f>SUM(K152:K157)</f>
        <v>242149.01</v>
      </c>
    </row>
    <row r="152" spans="1:11" ht="24.75" customHeight="1">
      <c r="A152" s="146" t="s">
        <v>45</v>
      </c>
      <c r="B152" s="34"/>
      <c r="C152" s="39">
        <v>412500</v>
      </c>
      <c r="D152" s="35" t="s">
        <v>200</v>
      </c>
      <c r="E152" s="229">
        <v>120000</v>
      </c>
      <c r="F152" s="229">
        <f aca="true" t="shared" si="19" ref="F152:F157">G152-E152</f>
        <v>18000</v>
      </c>
      <c r="G152" s="229">
        <v>138000</v>
      </c>
      <c r="H152" s="241">
        <f t="shared" si="17"/>
        <v>114.99999999999999</v>
      </c>
      <c r="I152" s="65">
        <f t="shared" si="15"/>
        <v>0.999058857597915</v>
      </c>
      <c r="J152" s="229">
        <v>138000</v>
      </c>
      <c r="K152" s="229">
        <v>138000</v>
      </c>
    </row>
    <row r="153" spans="1:11" ht="36.75" customHeight="1">
      <c r="A153" s="146" t="s">
        <v>45</v>
      </c>
      <c r="B153" s="34"/>
      <c r="C153" s="39">
        <v>412500</v>
      </c>
      <c r="D153" s="35" t="s">
        <v>302</v>
      </c>
      <c r="E153" s="229">
        <v>30000</v>
      </c>
      <c r="F153" s="229">
        <f t="shared" si="19"/>
        <v>-11000</v>
      </c>
      <c r="G153" s="229">
        <v>19000</v>
      </c>
      <c r="H153" s="241">
        <f t="shared" si="17"/>
        <v>63.33333333333333</v>
      </c>
      <c r="I153" s="65">
        <f t="shared" si="15"/>
        <v>0.1375515818431912</v>
      </c>
      <c r="J153" s="229">
        <v>19000</v>
      </c>
      <c r="K153" s="229">
        <v>19000</v>
      </c>
    </row>
    <row r="154" spans="1:11" ht="24.75" customHeight="1">
      <c r="A154" s="146" t="s">
        <v>45</v>
      </c>
      <c r="B154" s="34"/>
      <c r="C154" s="39">
        <v>412500</v>
      </c>
      <c r="D154" s="45" t="s">
        <v>201</v>
      </c>
      <c r="E154" s="229">
        <v>20000</v>
      </c>
      <c r="F154" s="229">
        <f t="shared" si="19"/>
        <v>0</v>
      </c>
      <c r="G154" s="229">
        <v>20000</v>
      </c>
      <c r="H154" s="241">
        <f t="shared" si="17"/>
        <v>100</v>
      </c>
      <c r="I154" s="65">
        <f t="shared" si="15"/>
        <v>0.1447911387823065</v>
      </c>
      <c r="J154" s="229">
        <v>20000</v>
      </c>
      <c r="K154" s="229">
        <v>20000</v>
      </c>
    </row>
    <row r="155" spans="1:11" ht="23.25" customHeight="1">
      <c r="A155" s="146" t="s">
        <v>45</v>
      </c>
      <c r="B155" s="34"/>
      <c r="C155" s="39">
        <v>412500</v>
      </c>
      <c r="D155" s="35" t="s">
        <v>215</v>
      </c>
      <c r="E155" s="211">
        <v>80000</v>
      </c>
      <c r="F155" s="229">
        <f t="shared" si="19"/>
        <v>-50000</v>
      </c>
      <c r="G155" s="211">
        <v>30000</v>
      </c>
      <c r="H155" s="241">
        <f t="shared" si="17"/>
        <v>37.5</v>
      </c>
      <c r="I155" s="65">
        <f t="shared" si="15"/>
        <v>0.21718670817345978</v>
      </c>
      <c r="J155" s="211">
        <v>30000</v>
      </c>
      <c r="K155" s="211">
        <v>30000</v>
      </c>
    </row>
    <row r="156" spans="1:12" ht="12.75">
      <c r="A156" s="146" t="s">
        <v>45</v>
      </c>
      <c r="B156" s="34"/>
      <c r="C156" s="39">
        <v>412500</v>
      </c>
      <c r="D156" s="35" t="s">
        <v>46</v>
      </c>
      <c r="E156" s="211">
        <v>20000</v>
      </c>
      <c r="F156" s="229">
        <f t="shared" si="19"/>
        <v>31149.010000000002</v>
      </c>
      <c r="G156" s="211">
        <v>51149.01</v>
      </c>
      <c r="H156" s="241">
        <f t="shared" si="17"/>
        <v>255.74505000000002</v>
      </c>
      <c r="I156" s="65">
        <f t="shared" si="15"/>
        <v>0.3702961702743792</v>
      </c>
      <c r="J156" s="211">
        <v>33149.01</v>
      </c>
      <c r="K156" s="211">
        <v>33149.01</v>
      </c>
      <c r="L156" s="172"/>
    </row>
    <row r="157" spans="1:11" ht="12.75">
      <c r="A157" s="146" t="s">
        <v>45</v>
      </c>
      <c r="B157" s="34"/>
      <c r="C157" s="39">
        <v>412500</v>
      </c>
      <c r="D157" s="35" t="s">
        <v>47</v>
      </c>
      <c r="E157" s="211">
        <v>5000</v>
      </c>
      <c r="F157" s="229">
        <f t="shared" si="19"/>
        <v>-3000</v>
      </c>
      <c r="G157" s="211">
        <v>2000</v>
      </c>
      <c r="H157" s="241">
        <f t="shared" si="17"/>
        <v>40</v>
      </c>
      <c r="I157" s="271">
        <f t="shared" si="15"/>
        <v>0.014479113878230651</v>
      </c>
      <c r="J157" s="211">
        <v>2000</v>
      </c>
      <c r="K157" s="211">
        <v>2000</v>
      </c>
    </row>
    <row r="158" spans="1:11" ht="12.75">
      <c r="A158" s="146"/>
      <c r="B158" s="24">
        <v>415000</v>
      </c>
      <c r="C158" s="39"/>
      <c r="D158" s="47" t="s">
        <v>161</v>
      </c>
      <c r="E158" s="214">
        <f>SUM(E159:E159)</f>
        <v>20000</v>
      </c>
      <c r="F158" s="214">
        <f>SUM(F159:F159)</f>
        <v>0</v>
      </c>
      <c r="G158" s="214">
        <f>SUM(G159:G159)</f>
        <v>20000</v>
      </c>
      <c r="H158" s="214">
        <f t="shared" si="17"/>
        <v>100</v>
      </c>
      <c r="I158" s="174">
        <f t="shared" si="15"/>
        <v>0.1447911387823065</v>
      </c>
      <c r="J158" s="214">
        <f>SUM(J159:J159)</f>
        <v>20000</v>
      </c>
      <c r="K158" s="214">
        <f>SUM(K159:K159)</f>
        <v>20000</v>
      </c>
    </row>
    <row r="159" spans="1:13" ht="24" customHeight="1">
      <c r="A159" s="146" t="s">
        <v>42</v>
      </c>
      <c r="B159" s="24"/>
      <c r="C159" s="39">
        <v>415200</v>
      </c>
      <c r="D159" s="35" t="s">
        <v>363</v>
      </c>
      <c r="E159" s="229">
        <v>20000</v>
      </c>
      <c r="F159" s="229">
        <f>G159-E159</f>
        <v>0</v>
      </c>
      <c r="G159" s="229">
        <v>20000</v>
      </c>
      <c r="H159" s="241">
        <f t="shared" si="17"/>
        <v>100</v>
      </c>
      <c r="I159" s="65">
        <f t="shared" si="15"/>
        <v>0.1447911387823065</v>
      </c>
      <c r="J159" s="229">
        <v>20000</v>
      </c>
      <c r="K159" s="229">
        <v>20000</v>
      </c>
      <c r="L159" s="172"/>
      <c r="M159" s="172">
        <v>20000</v>
      </c>
    </row>
    <row r="160" spans="1:13" ht="12.75">
      <c r="A160" s="146"/>
      <c r="B160" s="34"/>
      <c r="C160" s="85"/>
      <c r="D160" s="47" t="s">
        <v>369</v>
      </c>
      <c r="E160" s="214">
        <f>SUM(E161:E164)</f>
        <v>627500</v>
      </c>
      <c r="F160" s="214">
        <f>SUM(F161:F164)</f>
        <v>254000</v>
      </c>
      <c r="G160" s="214">
        <f>SUM(G161:G164)</f>
        <v>881500</v>
      </c>
      <c r="H160" s="214">
        <f t="shared" si="17"/>
        <v>140.4780876494024</v>
      </c>
      <c r="I160" s="147">
        <f t="shared" si="15"/>
        <v>6.38166944183016</v>
      </c>
      <c r="J160" s="214">
        <f>SUM(J161:J164)</f>
        <v>621500</v>
      </c>
      <c r="K160" s="214">
        <f>SUM(K161:K164)</f>
        <v>881500</v>
      </c>
      <c r="L160" s="172"/>
      <c r="M160" s="172"/>
    </row>
    <row r="161" spans="1:13" ht="45" customHeight="1">
      <c r="A161" s="42" t="s">
        <v>42</v>
      </c>
      <c r="B161" s="99"/>
      <c r="C161" s="100">
        <v>511200</v>
      </c>
      <c r="D161" s="98" t="s">
        <v>367</v>
      </c>
      <c r="E161" s="322">
        <v>617500</v>
      </c>
      <c r="F161" s="322">
        <f>G161-E161</f>
        <v>-17000</v>
      </c>
      <c r="G161" s="322">
        <v>600500</v>
      </c>
      <c r="H161" s="241">
        <f t="shared" si="17"/>
        <v>97.24696356275304</v>
      </c>
      <c r="I161" s="65">
        <f t="shared" si="15"/>
        <v>4.347353941938753</v>
      </c>
      <c r="J161" s="322">
        <v>590500</v>
      </c>
      <c r="K161" s="322">
        <v>600500</v>
      </c>
      <c r="L161" s="172"/>
      <c r="M161" s="172"/>
    </row>
    <row r="162" spans="1:13" ht="24.75" customHeight="1">
      <c r="A162" s="42" t="s">
        <v>42</v>
      </c>
      <c r="B162" s="99"/>
      <c r="C162" s="100">
        <v>511200</v>
      </c>
      <c r="D162" s="98" t="s">
        <v>531</v>
      </c>
      <c r="E162" s="322">
        <v>0</v>
      </c>
      <c r="F162" s="322">
        <f>G162-E162</f>
        <v>250000</v>
      </c>
      <c r="G162" s="322">
        <v>250000</v>
      </c>
      <c r="H162" s="241" t="e">
        <f t="shared" si="17"/>
        <v>#DIV/0!</v>
      </c>
      <c r="I162" s="65">
        <f t="shared" si="15"/>
        <v>1.8098892347788313</v>
      </c>
      <c r="J162" s="322"/>
      <c r="K162" s="322">
        <v>250000</v>
      </c>
      <c r="L162" s="172"/>
      <c r="M162" s="172"/>
    </row>
    <row r="163" spans="1:13" ht="13.5" customHeight="1">
      <c r="A163" s="42" t="s">
        <v>42</v>
      </c>
      <c r="B163" s="99"/>
      <c r="C163" s="100">
        <v>511200</v>
      </c>
      <c r="D163" s="98" t="s">
        <v>223</v>
      </c>
      <c r="E163" s="229">
        <v>10000</v>
      </c>
      <c r="F163" s="322">
        <f>G163-E163</f>
        <v>0</v>
      </c>
      <c r="G163" s="229">
        <v>10000</v>
      </c>
      <c r="H163" s="241">
        <f t="shared" si="17"/>
        <v>100</v>
      </c>
      <c r="I163" s="65">
        <f t="shared" si="15"/>
        <v>0.07239556939115326</v>
      </c>
      <c r="J163" s="229">
        <v>10000</v>
      </c>
      <c r="K163" s="229">
        <v>10000</v>
      </c>
      <c r="L163" s="172"/>
      <c r="M163" s="172">
        <v>10000</v>
      </c>
    </row>
    <row r="164" spans="1:12" ht="36.75" customHeight="1">
      <c r="A164" s="42" t="s">
        <v>42</v>
      </c>
      <c r="B164" s="99"/>
      <c r="C164" s="100">
        <v>511200</v>
      </c>
      <c r="D164" s="98" t="s">
        <v>511</v>
      </c>
      <c r="E164" s="211">
        <v>0</v>
      </c>
      <c r="F164" s="322">
        <f>G164-E164</f>
        <v>21000</v>
      </c>
      <c r="G164" s="211">
        <v>21000</v>
      </c>
      <c r="H164" s="241" t="e">
        <f t="shared" si="17"/>
        <v>#DIV/0!</v>
      </c>
      <c r="I164" s="65">
        <f t="shared" si="15"/>
        <v>0.15203069572142183</v>
      </c>
      <c r="J164" s="211">
        <v>21000</v>
      </c>
      <c r="K164" s="211">
        <v>21000</v>
      </c>
      <c r="L164" s="172"/>
    </row>
    <row r="165" spans="1:11" ht="25.5" customHeight="1">
      <c r="A165" s="539"/>
      <c r="B165" s="540"/>
      <c r="C165" s="505" t="s">
        <v>88</v>
      </c>
      <c r="D165" s="506"/>
      <c r="E165" s="72">
        <f>E135+E142+E151+E158+E160</f>
        <v>1614100</v>
      </c>
      <c r="F165" s="72">
        <f>F135+F142+F151+F158+F160</f>
        <v>322860</v>
      </c>
      <c r="G165" s="72">
        <f>G135+G142+G151+G158+G160</f>
        <v>1936960</v>
      </c>
      <c r="H165" s="382">
        <f t="shared" si="17"/>
        <v>120.0024781612044</v>
      </c>
      <c r="I165" s="102">
        <f t="shared" si="15"/>
        <v>14.02273220878882</v>
      </c>
      <c r="J165" s="72">
        <f>J135+J142+J151+J158+J160</f>
        <v>1658960</v>
      </c>
      <c r="K165" s="72">
        <f>K135+K142+K151+K158+K160</f>
        <v>1888960</v>
      </c>
    </row>
    <row r="166" spans="1:11" ht="9.75" customHeight="1">
      <c r="A166" s="515"/>
      <c r="B166" s="516"/>
      <c r="C166" s="503" t="s">
        <v>340</v>
      </c>
      <c r="D166" s="503"/>
      <c r="E166" s="198"/>
      <c r="F166" s="198"/>
      <c r="G166" s="198"/>
      <c r="H166" s="198"/>
      <c r="I166" s="282"/>
      <c r="K166" s="198"/>
    </row>
    <row r="167" spans="1:11" ht="9.75" customHeight="1">
      <c r="A167" s="517"/>
      <c r="B167" s="518"/>
      <c r="C167" s="503"/>
      <c r="D167" s="503"/>
      <c r="E167" s="199"/>
      <c r="F167" s="199"/>
      <c r="G167" s="199"/>
      <c r="H167" s="199"/>
      <c r="I167" s="283"/>
      <c r="J167" s="429" t="s">
        <v>526</v>
      </c>
      <c r="K167" s="199">
        <f>G165-K165</f>
        <v>48000</v>
      </c>
    </row>
    <row r="168" spans="1:11" ht="9.75" customHeight="1">
      <c r="A168" s="517"/>
      <c r="B168" s="518"/>
      <c r="C168" s="503"/>
      <c r="D168" s="503"/>
      <c r="E168" s="199"/>
      <c r="F168" s="199"/>
      <c r="G168" s="199"/>
      <c r="H168" s="199"/>
      <c r="I168" s="283"/>
      <c r="K168" s="199"/>
    </row>
    <row r="169" spans="1:11" ht="9" customHeight="1">
      <c r="A169" s="519"/>
      <c r="B169" s="520"/>
      <c r="C169" s="503"/>
      <c r="D169" s="503"/>
      <c r="E169" s="200"/>
      <c r="F169" s="200"/>
      <c r="G169" s="200"/>
      <c r="H169" s="200"/>
      <c r="I169" s="284"/>
      <c r="K169" s="200"/>
    </row>
    <row r="170" spans="1:11" ht="14.25" customHeight="1">
      <c r="A170" s="146"/>
      <c r="B170" s="24">
        <v>412000</v>
      </c>
      <c r="C170" s="18"/>
      <c r="D170" s="33" t="s">
        <v>147</v>
      </c>
      <c r="E170" s="214">
        <f>SUM(E171:E173)</f>
        <v>6700</v>
      </c>
      <c r="F170" s="214">
        <f>SUM(F171:F173)</f>
        <v>1472.6</v>
      </c>
      <c r="G170" s="214">
        <f>SUM(G171:G173)</f>
        <v>8172.6</v>
      </c>
      <c r="H170" s="214">
        <f>G170/E170*100</f>
        <v>121.97910447761195</v>
      </c>
      <c r="I170" s="66">
        <f aca="true" t="shared" si="20" ref="I170:I194">G170/$G$432*100</f>
        <v>0.05916600304061391</v>
      </c>
      <c r="J170" s="214">
        <f>SUM(J171:J173)</f>
        <v>8172.6</v>
      </c>
      <c r="K170" s="214">
        <f>SUM(K171:K173)</f>
        <v>8172.6</v>
      </c>
    </row>
    <row r="171" spans="1:11" ht="24" customHeight="1">
      <c r="A171" s="146" t="s">
        <v>37</v>
      </c>
      <c r="B171" s="34"/>
      <c r="C171" s="18">
        <v>412500</v>
      </c>
      <c r="D171" s="35" t="s">
        <v>143</v>
      </c>
      <c r="E171" s="229">
        <v>6000</v>
      </c>
      <c r="F171" s="229">
        <f>G171-E171</f>
        <v>1500</v>
      </c>
      <c r="G171" s="229">
        <v>7500</v>
      </c>
      <c r="H171" s="241">
        <f aca="true" t="shared" si="21" ref="H171:H194">G171/E171*100</f>
        <v>125</v>
      </c>
      <c r="I171" s="65">
        <f t="shared" si="20"/>
        <v>0.054296677043364945</v>
      </c>
      <c r="J171" s="229">
        <v>7500</v>
      </c>
      <c r="K171" s="229">
        <v>7500</v>
      </c>
    </row>
    <row r="172" spans="1:11" ht="12.75" customHeight="1">
      <c r="A172" s="146" t="s">
        <v>28</v>
      </c>
      <c r="B172" s="34"/>
      <c r="C172" s="18">
        <v>412900</v>
      </c>
      <c r="D172" s="31" t="s">
        <v>0</v>
      </c>
      <c r="E172" s="229">
        <v>400</v>
      </c>
      <c r="F172" s="229">
        <f>G172-E172</f>
        <v>-18.399999999999977</v>
      </c>
      <c r="G172" s="229">
        <v>381.6</v>
      </c>
      <c r="H172" s="241">
        <f t="shared" si="21"/>
        <v>95.4</v>
      </c>
      <c r="I172" s="65">
        <f t="shared" si="20"/>
        <v>0.0027626149279664086</v>
      </c>
      <c r="J172" s="229">
        <v>381.6</v>
      </c>
      <c r="K172" s="229">
        <v>381.6</v>
      </c>
    </row>
    <row r="173" spans="1:11" ht="24" customHeight="1">
      <c r="A173" s="41" t="s">
        <v>38</v>
      </c>
      <c r="B173" s="34"/>
      <c r="C173" s="18">
        <v>412900</v>
      </c>
      <c r="D173" s="31" t="s">
        <v>116</v>
      </c>
      <c r="E173" s="229">
        <v>300</v>
      </c>
      <c r="F173" s="229">
        <f>G173-E173</f>
        <v>-9</v>
      </c>
      <c r="G173" s="229">
        <v>291</v>
      </c>
      <c r="H173" s="241">
        <f t="shared" si="21"/>
        <v>97</v>
      </c>
      <c r="I173" s="65">
        <f t="shared" si="20"/>
        <v>0.00210671106928256</v>
      </c>
      <c r="J173" s="229">
        <v>291</v>
      </c>
      <c r="K173" s="229">
        <v>291</v>
      </c>
    </row>
    <row r="174" spans="1:11" ht="14.25" customHeight="1">
      <c r="A174" s="41"/>
      <c r="B174" s="96">
        <v>415000</v>
      </c>
      <c r="C174" s="18"/>
      <c r="D174" s="60" t="s">
        <v>161</v>
      </c>
      <c r="E174" s="214">
        <f>SUM(E175:E188)</f>
        <v>245700</v>
      </c>
      <c r="F174" s="214">
        <f>SUM(F175:F188)</f>
        <v>-5383.6</v>
      </c>
      <c r="G174" s="214">
        <f>SUM(G175:G188)</f>
        <v>240316.4</v>
      </c>
      <c r="H174" s="214">
        <f t="shared" si="21"/>
        <v>97.8088726088726</v>
      </c>
      <c r="I174" s="66">
        <f t="shared" si="20"/>
        <v>1.7397842612032144</v>
      </c>
      <c r="J174" s="214">
        <f>SUM(J175:J188)</f>
        <v>237942</v>
      </c>
      <c r="K174" s="214">
        <f>SUM(K175:K188)</f>
        <v>241377.9</v>
      </c>
    </row>
    <row r="175" spans="1:11" ht="12.75" customHeight="1">
      <c r="A175" s="146" t="s">
        <v>48</v>
      </c>
      <c r="B175" s="103"/>
      <c r="C175" s="62">
        <v>415200</v>
      </c>
      <c r="D175" s="50" t="s">
        <v>230</v>
      </c>
      <c r="E175" s="241">
        <v>90000</v>
      </c>
      <c r="F175" s="241">
        <f>G175-E175</f>
        <v>-9000</v>
      </c>
      <c r="G175" s="241">
        <v>81000</v>
      </c>
      <c r="H175" s="241">
        <f t="shared" si="21"/>
        <v>90</v>
      </c>
      <c r="I175" s="65">
        <f t="shared" si="20"/>
        <v>0.5864041120683414</v>
      </c>
      <c r="J175" s="241">
        <v>81000</v>
      </c>
      <c r="K175" s="241">
        <v>81000</v>
      </c>
    </row>
    <row r="176" spans="1:11" ht="22.5" customHeight="1">
      <c r="A176" s="146" t="s">
        <v>48</v>
      </c>
      <c r="B176" s="103"/>
      <c r="C176" s="62">
        <v>415200</v>
      </c>
      <c r="D176" s="50" t="s">
        <v>350</v>
      </c>
      <c r="E176" s="241">
        <v>0</v>
      </c>
      <c r="F176" s="241">
        <f aca="true" t="shared" si="22" ref="F176:F188">G176-E176</f>
        <v>6004.9</v>
      </c>
      <c r="G176" s="241">
        <v>6004.9</v>
      </c>
      <c r="H176" s="241" t="e">
        <f t="shared" si="21"/>
        <v>#DIV/0!</v>
      </c>
      <c r="I176" s="65">
        <f t="shared" si="20"/>
        <v>0.043472815463693616</v>
      </c>
      <c r="J176" s="241">
        <v>2569</v>
      </c>
      <c r="K176" s="241">
        <v>6004.9</v>
      </c>
    </row>
    <row r="177" spans="1:11" ht="26.25" customHeight="1">
      <c r="A177" s="146" t="s">
        <v>48</v>
      </c>
      <c r="B177" s="103"/>
      <c r="C177" s="62">
        <v>415200</v>
      </c>
      <c r="D177" s="50" t="s">
        <v>381</v>
      </c>
      <c r="E177" s="241">
        <v>25000</v>
      </c>
      <c r="F177" s="241">
        <f t="shared" si="22"/>
        <v>5000</v>
      </c>
      <c r="G177" s="241">
        <v>30000</v>
      </c>
      <c r="H177" s="241">
        <f t="shared" si="21"/>
        <v>120</v>
      </c>
      <c r="I177" s="65">
        <f t="shared" si="20"/>
        <v>0.21718670817345978</v>
      </c>
      <c r="J177" s="241">
        <v>30000</v>
      </c>
      <c r="K177" s="241">
        <v>30000</v>
      </c>
    </row>
    <row r="178" spans="1:11" ht="12.75" customHeight="1">
      <c r="A178" s="146" t="s">
        <v>48</v>
      </c>
      <c r="B178" s="103"/>
      <c r="C178" s="62">
        <v>415200</v>
      </c>
      <c r="D178" s="50" t="s">
        <v>231</v>
      </c>
      <c r="E178" s="241">
        <v>25000</v>
      </c>
      <c r="F178" s="241">
        <f t="shared" si="22"/>
        <v>-2500</v>
      </c>
      <c r="G178" s="241">
        <v>22500</v>
      </c>
      <c r="H178" s="241">
        <f t="shared" si="21"/>
        <v>90</v>
      </c>
      <c r="I178" s="65">
        <f t="shared" si="20"/>
        <v>0.16289003113009484</v>
      </c>
      <c r="J178" s="241">
        <v>22500</v>
      </c>
      <c r="K178" s="241">
        <v>22500</v>
      </c>
    </row>
    <row r="179" spans="1:11" ht="24" customHeight="1">
      <c r="A179" s="146" t="s">
        <v>48</v>
      </c>
      <c r="B179" s="103"/>
      <c r="C179" s="62">
        <v>415200</v>
      </c>
      <c r="D179" s="50" t="s">
        <v>232</v>
      </c>
      <c r="E179" s="241">
        <v>30000</v>
      </c>
      <c r="F179" s="241">
        <f t="shared" si="22"/>
        <v>-3000</v>
      </c>
      <c r="G179" s="241">
        <v>27000</v>
      </c>
      <c r="H179" s="241">
        <f t="shared" si="21"/>
        <v>90</v>
      </c>
      <c r="I179" s="65">
        <f t="shared" si="20"/>
        <v>0.19546803735611382</v>
      </c>
      <c r="J179" s="241">
        <v>27000</v>
      </c>
      <c r="K179" s="241">
        <v>27000</v>
      </c>
    </row>
    <row r="180" spans="1:11" ht="13.5" customHeight="1">
      <c r="A180" s="146" t="s">
        <v>48</v>
      </c>
      <c r="B180" s="103"/>
      <c r="C180" s="62">
        <v>415200</v>
      </c>
      <c r="D180" s="50" t="s">
        <v>347</v>
      </c>
      <c r="E180" s="241">
        <v>8000</v>
      </c>
      <c r="F180" s="241">
        <f t="shared" si="22"/>
        <v>-800</v>
      </c>
      <c r="G180" s="241">
        <v>7200</v>
      </c>
      <c r="H180" s="241">
        <f t="shared" si="21"/>
        <v>90</v>
      </c>
      <c r="I180" s="65">
        <f t="shared" si="20"/>
        <v>0.052124809961630346</v>
      </c>
      <c r="J180" s="241">
        <v>7200</v>
      </c>
      <c r="K180" s="241">
        <v>7200</v>
      </c>
    </row>
    <row r="181" spans="1:11" ht="13.5" customHeight="1">
      <c r="A181" s="146" t="s">
        <v>48</v>
      </c>
      <c r="B181" s="103"/>
      <c r="C181" s="62">
        <v>415200</v>
      </c>
      <c r="D181" s="50" t="s">
        <v>233</v>
      </c>
      <c r="E181" s="241">
        <v>5000</v>
      </c>
      <c r="F181" s="241">
        <f t="shared" si="22"/>
        <v>-500</v>
      </c>
      <c r="G181" s="241">
        <v>4500</v>
      </c>
      <c r="H181" s="241">
        <f t="shared" si="21"/>
        <v>90</v>
      </c>
      <c r="I181" s="65">
        <f t="shared" si="20"/>
        <v>0.03257800622601897</v>
      </c>
      <c r="J181" s="241">
        <v>4500</v>
      </c>
      <c r="K181" s="241">
        <v>4500</v>
      </c>
    </row>
    <row r="182" spans="1:11" ht="13.5" customHeight="1">
      <c r="A182" s="146" t="s">
        <v>48</v>
      </c>
      <c r="B182" s="103"/>
      <c r="C182" s="62">
        <v>415200</v>
      </c>
      <c r="D182" s="50" t="s">
        <v>454</v>
      </c>
      <c r="E182" s="241">
        <v>5000</v>
      </c>
      <c r="F182" s="241">
        <f t="shared" si="22"/>
        <v>-500</v>
      </c>
      <c r="G182" s="241">
        <v>4500</v>
      </c>
      <c r="H182" s="241">
        <f t="shared" si="21"/>
        <v>90</v>
      </c>
      <c r="I182" s="65">
        <f t="shared" si="20"/>
        <v>0.03257800622601897</v>
      </c>
      <c r="J182" s="241">
        <v>4500</v>
      </c>
      <c r="K182" s="241">
        <v>4500</v>
      </c>
    </row>
    <row r="183" spans="1:11" ht="37.5" customHeight="1">
      <c r="A183" s="146" t="s">
        <v>48</v>
      </c>
      <c r="B183" s="103"/>
      <c r="C183" s="62">
        <v>415200</v>
      </c>
      <c r="D183" s="50" t="s">
        <v>512</v>
      </c>
      <c r="E183" s="229">
        <v>0</v>
      </c>
      <c r="F183" s="241">
        <f t="shared" si="22"/>
        <v>3000</v>
      </c>
      <c r="G183" s="229">
        <v>3000</v>
      </c>
      <c r="H183" s="241" t="e">
        <f t="shared" si="21"/>
        <v>#DIV/0!</v>
      </c>
      <c r="I183" s="65">
        <f t="shared" si="20"/>
        <v>0.021718670817345978</v>
      </c>
      <c r="J183" s="229">
        <v>3000</v>
      </c>
      <c r="K183" s="229">
        <v>3000</v>
      </c>
    </row>
    <row r="184" spans="1:11" ht="25.5" customHeight="1">
      <c r="A184" s="146" t="s">
        <v>48</v>
      </c>
      <c r="B184" s="103"/>
      <c r="C184" s="62">
        <v>415200</v>
      </c>
      <c r="D184" s="50" t="s">
        <v>289</v>
      </c>
      <c r="E184" s="229">
        <v>10000</v>
      </c>
      <c r="F184" s="241">
        <f t="shared" si="22"/>
        <v>2673</v>
      </c>
      <c r="G184" s="229">
        <v>12673</v>
      </c>
      <c r="H184" s="241">
        <f t="shared" si="21"/>
        <v>126.73</v>
      </c>
      <c r="I184" s="65">
        <f t="shared" si="20"/>
        <v>0.09174690508940853</v>
      </c>
      <c r="J184" s="229">
        <v>12673</v>
      </c>
      <c r="K184" s="229">
        <v>12673</v>
      </c>
    </row>
    <row r="185" spans="1:11" ht="35.25" customHeight="1">
      <c r="A185" s="146" t="s">
        <v>48</v>
      </c>
      <c r="B185" s="103"/>
      <c r="C185" s="62">
        <v>415200</v>
      </c>
      <c r="D185" s="50" t="s">
        <v>290</v>
      </c>
      <c r="E185" s="229">
        <v>3200</v>
      </c>
      <c r="F185" s="241">
        <f t="shared" si="22"/>
        <v>0</v>
      </c>
      <c r="G185" s="229">
        <v>3200</v>
      </c>
      <c r="H185" s="241">
        <f t="shared" si="21"/>
        <v>100</v>
      </c>
      <c r="I185" s="65">
        <f t="shared" si="20"/>
        <v>0.023166582205169043</v>
      </c>
      <c r="J185" s="229">
        <v>3200</v>
      </c>
      <c r="K185" s="229">
        <v>3200</v>
      </c>
    </row>
    <row r="186" spans="1:12" ht="27.75" customHeight="1">
      <c r="A186" s="146" t="s">
        <v>48</v>
      </c>
      <c r="B186" s="103"/>
      <c r="C186" s="62">
        <v>415200</v>
      </c>
      <c r="D186" s="50" t="s">
        <v>292</v>
      </c>
      <c r="E186" s="229">
        <v>7000</v>
      </c>
      <c r="F186" s="241">
        <f t="shared" si="22"/>
        <v>-1061.5</v>
      </c>
      <c r="G186" s="229">
        <v>5938.5</v>
      </c>
      <c r="H186" s="241">
        <f t="shared" si="21"/>
        <v>84.83571428571427</v>
      </c>
      <c r="I186" s="65">
        <f t="shared" si="20"/>
        <v>0.042992108882936364</v>
      </c>
      <c r="J186" s="229">
        <v>7000</v>
      </c>
      <c r="K186" s="229">
        <v>7000</v>
      </c>
      <c r="L186" s="446">
        <v>1061.5</v>
      </c>
    </row>
    <row r="187" spans="1:12" ht="24" customHeight="1">
      <c r="A187" s="41" t="s">
        <v>48</v>
      </c>
      <c r="B187" s="104"/>
      <c r="C187" s="100">
        <v>415200</v>
      </c>
      <c r="D187" s="98" t="s">
        <v>220</v>
      </c>
      <c r="E187" s="229">
        <v>35000</v>
      </c>
      <c r="F187" s="241">
        <f t="shared" si="22"/>
        <v>-2700</v>
      </c>
      <c r="G187" s="229">
        <v>32300</v>
      </c>
      <c r="H187" s="241">
        <f t="shared" si="21"/>
        <v>92.28571428571428</v>
      </c>
      <c r="I187" s="65">
        <f t="shared" si="20"/>
        <v>0.23383768913342504</v>
      </c>
      <c r="J187" s="229">
        <v>32300</v>
      </c>
      <c r="K187" s="229">
        <v>32300</v>
      </c>
      <c r="L187" s="427"/>
    </row>
    <row r="188" spans="1:12" ht="36">
      <c r="A188" s="42" t="s">
        <v>48</v>
      </c>
      <c r="B188" s="104"/>
      <c r="C188" s="100">
        <v>415200</v>
      </c>
      <c r="D188" s="98" t="s">
        <v>395</v>
      </c>
      <c r="E188" s="229">
        <v>2500</v>
      </c>
      <c r="F188" s="241">
        <f t="shared" si="22"/>
        <v>-2000</v>
      </c>
      <c r="G188" s="229">
        <v>500</v>
      </c>
      <c r="H188" s="241">
        <f t="shared" si="21"/>
        <v>20</v>
      </c>
      <c r="I188" s="65">
        <f t="shared" si="20"/>
        <v>0.003619778469557663</v>
      </c>
      <c r="J188" s="229">
        <v>500</v>
      </c>
      <c r="K188" s="229">
        <v>500</v>
      </c>
      <c r="L188" s="427"/>
    </row>
    <row r="189" spans="1:12" s="115" customFormat="1" ht="14.25" customHeight="1">
      <c r="A189" s="42"/>
      <c r="B189" s="99">
        <v>416000</v>
      </c>
      <c r="C189" s="167"/>
      <c r="D189" s="168" t="s">
        <v>1</v>
      </c>
      <c r="E189" s="270">
        <f>SUM(E190:E190)</f>
        <v>62000</v>
      </c>
      <c r="F189" s="270">
        <f>SUM(F190:F190)</f>
        <v>-9000</v>
      </c>
      <c r="G189" s="270">
        <f>SUM(G190:G190)</f>
        <v>53000</v>
      </c>
      <c r="H189" s="214">
        <f t="shared" si="21"/>
        <v>85.48387096774194</v>
      </c>
      <c r="I189" s="66">
        <f t="shared" si="20"/>
        <v>0.38369651777311226</v>
      </c>
      <c r="J189" s="270">
        <f>SUM(J190:J190)</f>
        <v>59367</v>
      </c>
      <c r="K189" s="270">
        <f>SUM(K190:K190)</f>
        <v>59367</v>
      </c>
      <c r="L189" s="427"/>
    </row>
    <row r="190" spans="1:12" s="115" customFormat="1" ht="22.5" customHeight="1">
      <c r="A190" s="42" t="s">
        <v>34</v>
      </c>
      <c r="B190" s="166"/>
      <c r="C190" s="38">
        <v>416100</v>
      </c>
      <c r="D190" s="44" t="s">
        <v>294</v>
      </c>
      <c r="E190" s="322">
        <v>62000</v>
      </c>
      <c r="F190" s="322">
        <f>G190-E190</f>
        <v>-9000</v>
      </c>
      <c r="G190" s="322">
        <v>53000</v>
      </c>
      <c r="H190" s="241">
        <f t="shared" si="21"/>
        <v>85.48387096774194</v>
      </c>
      <c r="I190" s="65">
        <f t="shared" si="20"/>
        <v>0.38369651777311226</v>
      </c>
      <c r="J190" s="322">
        <v>59367</v>
      </c>
      <c r="K190" s="322">
        <v>59367</v>
      </c>
      <c r="L190" s="446">
        <v>6367</v>
      </c>
    </row>
    <row r="191" spans="1:12" ht="15" customHeight="1">
      <c r="A191" s="146"/>
      <c r="B191" s="24">
        <v>511000</v>
      </c>
      <c r="C191" s="38"/>
      <c r="D191" s="33" t="s">
        <v>165</v>
      </c>
      <c r="E191" s="214">
        <f>SUM(E192:E193)</f>
        <v>70000</v>
      </c>
      <c r="F191" s="214">
        <f>SUM(F192:F193)</f>
        <v>-27531.48</v>
      </c>
      <c r="G191" s="214">
        <f>SUM(G192:G193)</f>
        <v>42468.52</v>
      </c>
      <c r="H191" s="214">
        <f t="shared" si="21"/>
        <v>60.66931428571428</v>
      </c>
      <c r="I191" s="66">
        <f t="shared" si="20"/>
        <v>0.307453268659958</v>
      </c>
      <c r="J191" s="214">
        <f>SUM(J192:J193)</f>
        <v>46827.88</v>
      </c>
      <c r="K191" s="214">
        <f>SUM(K192:K193)</f>
        <v>46827.88</v>
      </c>
      <c r="L191" s="427"/>
    </row>
    <row r="192" spans="1:12" ht="24.75" customHeight="1">
      <c r="A192" s="146" t="s">
        <v>48</v>
      </c>
      <c r="B192" s="24"/>
      <c r="C192" s="38">
        <v>511100</v>
      </c>
      <c r="D192" s="31" t="s">
        <v>364</v>
      </c>
      <c r="E192" s="241">
        <v>40000</v>
      </c>
      <c r="F192" s="241">
        <f>G192-E192</f>
        <v>-700</v>
      </c>
      <c r="G192" s="241">
        <v>39300</v>
      </c>
      <c r="H192" s="241">
        <f t="shared" si="21"/>
        <v>98.25</v>
      </c>
      <c r="I192" s="65">
        <f t="shared" si="20"/>
        <v>0.2845145877072323</v>
      </c>
      <c r="J192" s="241">
        <v>39300</v>
      </c>
      <c r="K192" s="241">
        <v>39300</v>
      </c>
      <c r="L192" s="446"/>
    </row>
    <row r="193" spans="1:12" ht="25.5" customHeight="1">
      <c r="A193" s="146" t="s">
        <v>48</v>
      </c>
      <c r="B193" s="24"/>
      <c r="C193" s="38">
        <v>511100</v>
      </c>
      <c r="D193" s="31" t="s">
        <v>300</v>
      </c>
      <c r="E193" s="241">
        <v>30000</v>
      </c>
      <c r="F193" s="241">
        <f>G193-E193</f>
        <v>-26831.48</v>
      </c>
      <c r="G193" s="241">
        <v>3168.52</v>
      </c>
      <c r="H193" s="241">
        <f t="shared" si="21"/>
        <v>10.561733333333333</v>
      </c>
      <c r="I193" s="65">
        <f t="shared" si="20"/>
        <v>0.022938680952725693</v>
      </c>
      <c r="J193" s="241">
        <v>7527.88</v>
      </c>
      <c r="K193" s="241">
        <v>7527.88</v>
      </c>
      <c r="L193" s="446">
        <v>4359.36</v>
      </c>
    </row>
    <row r="194" spans="1:12" ht="30" customHeight="1">
      <c r="A194" s="513"/>
      <c r="B194" s="514"/>
      <c r="C194" s="505" t="s">
        <v>89</v>
      </c>
      <c r="D194" s="506"/>
      <c r="E194" s="72">
        <f>E170+E174+E189+E191</f>
        <v>384400</v>
      </c>
      <c r="F194" s="72">
        <f>F170+F174+F189+F191</f>
        <v>-40442.479999999996</v>
      </c>
      <c r="G194" s="72">
        <f>G170+G174+G189+G191</f>
        <v>343957.52</v>
      </c>
      <c r="H194" s="382">
        <f t="shared" si="21"/>
        <v>89.47906347554631</v>
      </c>
      <c r="I194" s="102">
        <f t="shared" si="20"/>
        <v>2.4901000506768987</v>
      </c>
      <c r="J194" s="72">
        <f>J170+J174+J189+J191</f>
        <v>352309.48</v>
      </c>
      <c r="K194" s="72">
        <f>K170+K174+K189+K191</f>
        <v>355745.38</v>
      </c>
      <c r="L194" s="172"/>
    </row>
    <row r="195" spans="1:11" ht="9.75" customHeight="1">
      <c r="A195" s="515"/>
      <c r="B195" s="516"/>
      <c r="C195" s="503" t="s">
        <v>128</v>
      </c>
      <c r="D195" s="504"/>
      <c r="E195" s="201"/>
      <c r="F195" s="201"/>
      <c r="G195" s="201"/>
      <c r="H195" s="201"/>
      <c r="I195" s="285"/>
      <c r="K195" s="201"/>
    </row>
    <row r="196" spans="1:11" ht="9.75" customHeight="1">
      <c r="A196" s="517"/>
      <c r="B196" s="518"/>
      <c r="C196" s="504"/>
      <c r="D196" s="504"/>
      <c r="E196" s="202"/>
      <c r="F196" s="202"/>
      <c r="G196" s="202"/>
      <c r="H196" s="202"/>
      <c r="I196" s="286"/>
      <c r="J196" s="429" t="s">
        <v>526</v>
      </c>
      <c r="K196" s="202">
        <f>G194-K194</f>
        <v>-11787.859999999986</v>
      </c>
    </row>
    <row r="197" spans="1:11" ht="19.5" customHeight="1">
      <c r="A197" s="519"/>
      <c r="B197" s="520"/>
      <c r="C197" s="504"/>
      <c r="D197" s="504"/>
      <c r="E197" s="203"/>
      <c r="F197" s="203"/>
      <c r="G197" s="203"/>
      <c r="H197" s="203"/>
      <c r="I197" s="287"/>
      <c r="K197" s="203"/>
    </row>
    <row r="198" spans="1:11" ht="14.25" customHeight="1">
      <c r="A198" s="146"/>
      <c r="B198" s="24">
        <v>412000</v>
      </c>
      <c r="C198" s="34"/>
      <c r="D198" s="33" t="s">
        <v>147</v>
      </c>
      <c r="E198" s="214">
        <f>SUM(E199:E203)</f>
        <v>25400</v>
      </c>
      <c r="F198" s="214">
        <f>SUM(F199:F203)</f>
        <v>-1040</v>
      </c>
      <c r="G198" s="214">
        <f>SUM(G199:G203)</f>
        <v>24360</v>
      </c>
      <c r="H198" s="214">
        <f>G198/E198*100</f>
        <v>95.90551181102363</v>
      </c>
      <c r="I198" s="66">
        <f aca="true" t="shared" si="23" ref="I198:I204">G198/$G$432*100</f>
        <v>0.17635560703684935</v>
      </c>
      <c r="J198" s="214">
        <f>SUM(J199:J203)</f>
        <v>24360</v>
      </c>
      <c r="K198" s="214">
        <f>SUM(K199:K203)</f>
        <v>24360</v>
      </c>
    </row>
    <row r="199" spans="1:11" ht="24">
      <c r="A199" s="146" t="s">
        <v>38</v>
      </c>
      <c r="B199" s="24"/>
      <c r="C199" s="18">
        <v>412700</v>
      </c>
      <c r="D199" s="44" t="s">
        <v>111</v>
      </c>
      <c r="E199" s="230">
        <v>10000</v>
      </c>
      <c r="F199" s="230">
        <f>G199-E199</f>
        <v>0</v>
      </c>
      <c r="G199" s="230">
        <v>10000</v>
      </c>
      <c r="H199" s="241">
        <f aca="true" t="shared" si="24" ref="H199:H204">G199/E199*100</f>
        <v>100</v>
      </c>
      <c r="I199" s="65">
        <f t="shared" si="23"/>
        <v>0.07239556939115326</v>
      </c>
      <c r="J199" s="230">
        <v>10000</v>
      </c>
      <c r="K199" s="230">
        <v>10000</v>
      </c>
    </row>
    <row r="200" spans="1:11" ht="25.5" customHeight="1">
      <c r="A200" s="42" t="s">
        <v>38</v>
      </c>
      <c r="B200" s="43"/>
      <c r="C200" s="38">
        <v>412700</v>
      </c>
      <c r="D200" s="44" t="s">
        <v>134</v>
      </c>
      <c r="E200" s="230">
        <v>2000</v>
      </c>
      <c r="F200" s="230">
        <f>G200-E200</f>
        <v>-1690</v>
      </c>
      <c r="G200" s="230">
        <v>310</v>
      </c>
      <c r="H200" s="241">
        <f t="shared" si="24"/>
        <v>15.5</v>
      </c>
      <c r="I200" s="65">
        <f t="shared" si="23"/>
        <v>0.0022442626511257513</v>
      </c>
      <c r="J200" s="230">
        <v>310</v>
      </c>
      <c r="K200" s="230">
        <v>310</v>
      </c>
    </row>
    <row r="201" spans="1:11" ht="24.75" customHeight="1">
      <c r="A201" s="42" t="s">
        <v>38</v>
      </c>
      <c r="B201" s="43"/>
      <c r="C201" s="39">
        <v>412700</v>
      </c>
      <c r="D201" s="35" t="s">
        <v>213</v>
      </c>
      <c r="E201" s="229">
        <v>12000</v>
      </c>
      <c r="F201" s="230">
        <f>G201-E201</f>
        <v>1650</v>
      </c>
      <c r="G201" s="229">
        <v>13650</v>
      </c>
      <c r="H201" s="241">
        <f t="shared" si="24"/>
        <v>113.75</v>
      </c>
      <c r="I201" s="65">
        <f t="shared" si="23"/>
        <v>0.09881995221892421</v>
      </c>
      <c r="J201" s="229">
        <v>13650</v>
      </c>
      <c r="K201" s="229">
        <v>13650</v>
      </c>
    </row>
    <row r="202" spans="1:11" ht="24.75" customHeight="1">
      <c r="A202" s="41" t="s">
        <v>190</v>
      </c>
      <c r="B202" s="34"/>
      <c r="C202" s="39">
        <v>412700</v>
      </c>
      <c r="D202" s="35" t="s">
        <v>343</v>
      </c>
      <c r="E202" s="230">
        <v>1000</v>
      </c>
      <c r="F202" s="230">
        <f>G202-E202</f>
        <v>-1000</v>
      </c>
      <c r="G202" s="230">
        <v>0</v>
      </c>
      <c r="H202" s="241">
        <f t="shared" si="24"/>
        <v>0</v>
      </c>
      <c r="I202" s="65">
        <f t="shared" si="23"/>
        <v>0</v>
      </c>
      <c r="J202" s="230">
        <v>0</v>
      </c>
      <c r="K202" s="230">
        <v>0</v>
      </c>
    </row>
    <row r="203" spans="1:11" ht="12.75" customHeight="1">
      <c r="A203" s="146" t="s">
        <v>28</v>
      </c>
      <c r="B203" s="34"/>
      <c r="C203" s="18">
        <v>412900</v>
      </c>
      <c r="D203" s="31" t="s">
        <v>49</v>
      </c>
      <c r="E203" s="230">
        <v>400</v>
      </c>
      <c r="F203" s="230">
        <f>G203-E203</f>
        <v>0</v>
      </c>
      <c r="G203" s="230">
        <v>400</v>
      </c>
      <c r="H203" s="241">
        <f t="shared" si="24"/>
        <v>100</v>
      </c>
      <c r="I203" s="65">
        <f t="shared" si="23"/>
        <v>0.0028958227756461304</v>
      </c>
      <c r="J203" s="230">
        <v>400</v>
      </c>
      <c r="K203" s="230">
        <v>400</v>
      </c>
    </row>
    <row r="204" spans="1:11" ht="25.5" customHeight="1">
      <c r="A204" s="513"/>
      <c r="B204" s="514"/>
      <c r="C204" s="505" t="s">
        <v>90</v>
      </c>
      <c r="D204" s="505"/>
      <c r="E204" s="72">
        <f>E198</f>
        <v>25400</v>
      </c>
      <c r="F204" s="72">
        <f>F198</f>
        <v>-1040</v>
      </c>
      <c r="G204" s="72">
        <f>G198</f>
        <v>24360</v>
      </c>
      <c r="H204" s="382">
        <f t="shared" si="24"/>
        <v>95.90551181102363</v>
      </c>
      <c r="I204" s="72">
        <f t="shared" si="23"/>
        <v>0.17635560703684935</v>
      </c>
      <c r="J204" s="72">
        <f>J198</f>
        <v>24360</v>
      </c>
      <c r="K204" s="72">
        <f>K198</f>
        <v>24360</v>
      </c>
    </row>
    <row r="205" spans="1:11" ht="9.75" customHeight="1">
      <c r="A205" s="507"/>
      <c r="B205" s="508"/>
      <c r="C205" s="503" t="s">
        <v>241</v>
      </c>
      <c r="D205" s="504"/>
      <c r="E205" s="201"/>
      <c r="F205" s="202"/>
      <c r="G205" s="202"/>
      <c r="H205" s="202"/>
      <c r="I205" s="285"/>
      <c r="K205" s="202"/>
    </row>
    <row r="206" spans="1:11" ht="9.75" customHeight="1">
      <c r="A206" s="509"/>
      <c r="B206" s="510"/>
      <c r="C206" s="504"/>
      <c r="D206" s="504"/>
      <c r="E206" s="202"/>
      <c r="F206" s="202"/>
      <c r="G206" s="202"/>
      <c r="H206" s="202"/>
      <c r="I206" s="286"/>
      <c r="J206" s="429" t="s">
        <v>526</v>
      </c>
      <c r="K206" s="202">
        <f>G204-K204</f>
        <v>0</v>
      </c>
    </row>
    <row r="207" spans="1:11" ht="30" customHeight="1">
      <c r="A207" s="511"/>
      <c r="B207" s="512"/>
      <c r="C207" s="504"/>
      <c r="D207" s="504"/>
      <c r="E207" s="203"/>
      <c r="F207" s="203"/>
      <c r="G207" s="203"/>
      <c r="H207" s="203"/>
      <c r="I207" s="287"/>
      <c r="K207" s="203"/>
    </row>
    <row r="208" spans="1:11" ht="14.25" customHeight="1">
      <c r="A208" s="146"/>
      <c r="B208" s="24">
        <v>412000</v>
      </c>
      <c r="C208" s="18"/>
      <c r="D208" s="33" t="s">
        <v>147</v>
      </c>
      <c r="E208" s="214">
        <f>SUM(E209:E211)</f>
        <v>53400</v>
      </c>
      <c r="F208" s="214">
        <f>SUM(F209:F211)</f>
        <v>0</v>
      </c>
      <c r="G208" s="214">
        <f>SUM(G209:G211)</f>
        <v>53400</v>
      </c>
      <c r="H208" s="214">
        <f>G208/E208*100</f>
        <v>100</v>
      </c>
      <c r="I208" s="147">
        <f aca="true" t="shared" si="25" ref="I208:I226">G208/$G$432*100</f>
        <v>0.3865923405487584</v>
      </c>
      <c r="J208" s="214">
        <f>SUM(J209:J211)</f>
        <v>53400</v>
      </c>
      <c r="K208" s="214">
        <f>SUM(K209:K211)</f>
        <v>53400</v>
      </c>
    </row>
    <row r="209" spans="1:11" ht="12.75">
      <c r="A209" s="41" t="s">
        <v>51</v>
      </c>
      <c r="B209" s="34"/>
      <c r="C209" s="39">
        <v>412700</v>
      </c>
      <c r="D209" s="34" t="s">
        <v>50</v>
      </c>
      <c r="E209" s="229">
        <v>2000</v>
      </c>
      <c r="F209" s="229">
        <f>G209-E209</f>
        <v>0</v>
      </c>
      <c r="G209" s="229">
        <v>2000</v>
      </c>
      <c r="H209" s="241">
        <f aca="true" t="shared" si="26" ref="H209:H226">G209/E209*100</f>
        <v>100</v>
      </c>
      <c r="I209" s="65">
        <f t="shared" si="25"/>
        <v>0.014479113878230651</v>
      </c>
      <c r="J209" s="229">
        <v>2000</v>
      </c>
      <c r="K209" s="229">
        <v>2000</v>
      </c>
    </row>
    <row r="210" spans="1:11" ht="12.75">
      <c r="A210" s="146" t="s">
        <v>51</v>
      </c>
      <c r="B210" s="34"/>
      <c r="C210" s="39">
        <v>412700</v>
      </c>
      <c r="D210" s="31" t="s">
        <v>112</v>
      </c>
      <c r="E210" s="229">
        <v>51000</v>
      </c>
      <c r="F210" s="229">
        <f>G210-E210</f>
        <v>0</v>
      </c>
      <c r="G210" s="229">
        <v>51000</v>
      </c>
      <c r="H210" s="241">
        <f t="shared" si="26"/>
        <v>100</v>
      </c>
      <c r="I210" s="65">
        <f t="shared" si="25"/>
        <v>0.3692174038948816</v>
      </c>
      <c r="J210" s="229">
        <v>51000</v>
      </c>
      <c r="K210" s="229">
        <v>51000</v>
      </c>
    </row>
    <row r="211" spans="1:11" ht="12.75">
      <c r="A211" s="146" t="s">
        <v>28</v>
      </c>
      <c r="B211" s="34"/>
      <c r="C211" s="18">
        <v>412900</v>
      </c>
      <c r="D211" s="48" t="s">
        <v>0</v>
      </c>
      <c r="E211" s="229">
        <v>400</v>
      </c>
      <c r="F211" s="229">
        <f>G211-E211</f>
        <v>0</v>
      </c>
      <c r="G211" s="229">
        <v>400</v>
      </c>
      <c r="H211" s="241">
        <f t="shared" si="26"/>
        <v>100</v>
      </c>
      <c r="I211" s="65">
        <f t="shared" si="25"/>
        <v>0.0028958227756461304</v>
      </c>
      <c r="J211" s="229">
        <v>400</v>
      </c>
      <c r="K211" s="229">
        <v>400</v>
      </c>
    </row>
    <row r="212" spans="1:11" ht="14.25" customHeight="1">
      <c r="A212" s="146"/>
      <c r="B212" s="77">
        <v>414000</v>
      </c>
      <c r="C212" s="39"/>
      <c r="D212" s="109" t="s">
        <v>203</v>
      </c>
      <c r="E212" s="214">
        <f>SUM(E213)</f>
        <v>400000</v>
      </c>
      <c r="F212" s="214">
        <f>SUM(F213)</f>
        <v>0</v>
      </c>
      <c r="G212" s="214">
        <f>SUM(G213)</f>
        <v>400000</v>
      </c>
      <c r="H212" s="214">
        <f t="shared" si="26"/>
        <v>100</v>
      </c>
      <c r="I212" s="147">
        <f t="shared" si="25"/>
        <v>2.8958227756461303</v>
      </c>
      <c r="J212" s="214">
        <f>SUM(J213)</f>
        <v>400000</v>
      </c>
      <c r="K212" s="214">
        <f>SUM(K213)</f>
        <v>400000</v>
      </c>
    </row>
    <row r="213" spans="1:11" ht="12.75">
      <c r="A213" s="146" t="s">
        <v>51</v>
      </c>
      <c r="B213" s="34"/>
      <c r="C213" s="39">
        <v>414100</v>
      </c>
      <c r="D213" s="40" t="s">
        <v>205</v>
      </c>
      <c r="E213" s="241">
        <v>400000</v>
      </c>
      <c r="F213" s="241">
        <f>G213-E213</f>
        <v>0</v>
      </c>
      <c r="G213" s="241">
        <v>400000</v>
      </c>
      <c r="H213" s="241">
        <f t="shared" si="26"/>
        <v>100</v>
      </c>
      <c r="I213" s="65">
        <f t="shared" si="25"/>
        <v>2.8958227756461303</v>
      </c>
      <c r="J213" s="241">
        <v>400000</v>
      </c>
      <c r="K213" s="241">
        <v>400000</v>
      </c>
    </row>
    <row r="214" spans="1:11" ht="12.75">
      <c r="A214" s="146"/>
      <c r="B214" s="77">
        <v>415000</v>
      </c>
      <c r="C214" s="39"/>
      <c r="D214" s="238" t="s">
        <v>161</v>
      </c>
      <c r="E214" s="214">
        <f>SUM(E215:E215)</f>
        <v>5000</v>
      </c>
      <c r="F214" s="214">
        <f>SUM(F215:F215)</f>
        <v>-5000</v>
      </c>
      <c r="G214" s="214">
        <f>SUM(G215:G215)</f>
        <v>0</v>
      </c>
      <c r="H214" s="214">
        <f t="shared" si="26"/>
        <v>0</v>
      </c>
      <c r="I214" s="147">
        <f t="shared" si="25"/>
        <v>0</v>
      </c>
      <c r="J214" s="214">
        <f>SUM(J215:J215)</f>
        <v>0</v>
      </c>
      <c r="K214" s="214">
        <f>SUM(K215:K215)</f>
        <v>0</v>
      </c>
    </row>
    <row r="215" spans="1:11" ht="12.75">
      <c r="A215" s="146" t="s">
        <v>51</v>
      </c>
      <c r="B215" s="34"/>
      <c r="C215" s="39">
        <v>415200</v>
      </c>
      <c r="D215" s="40" t="s">
        <v>365</v>
      </c>
      <c r="E215" s="229">
        <v>5000</v>
      </c>
      <c r="F215" s="229">
        <f>G215-E215</f>
        <v>-5000</v>
      </c>
      <c r="G215" s="229">
        <v>0</v>
      </c>
      <c r="H215" s="241">
        <f t="shared" si="26"/>
        <v>0</v>
      </c>
      <c r="I215" s="65">
        <f t="shared" si="25"/>
        <v>0</v>
      </c>
      <c r="J215" s="229">
        <v>0</v>
      </c>
      <c r="K215" s="229">
        <v>0</v>
      </c>
    </row>
    <row r="216" spans="1:11" ht="14.25" customHeight="1">
      <c r="A216" s="146"/>
      <c r="B216" s="24">
        <v>416000</v>
      </c>
      <c r="C216" s="39"/>
      <c r="D216" s="33" t="s">
        <v>1</v>
      </c>
      <c r="E216" s="297">
        <f>SUM(E217:E217)</f>
        <v>20000</v>
      </c>
      <c r="F216" s="297">
        <f>SUM(F217:F217)</f>
        <v>-8500</v>
      </c>
      <c r="G216" s="297">
        <f>SUM(G217:G217)</f>
        <v>11500</v>
      </c>
      <c r="H216" s="214">
        <f t="shared" si="26"/>
        <v>57.49999999999999</v>
      </c>
      <c r="I216" s="147">
        <f t="shared" si="25"/>
        <v>0.08325490479982625</v>
      </c>
      <c r="J216" s="297">
        <f>SUM(J217:J217)</f>
        <v>11500</v>
      </c>
      <c r="K216" s="297">
        <f>SUM(K217:K217)</f>
        <v>15000</v>
      </c>
    </row>
    <row r="217" spans="1:11" ht="12.75">
      <c r="A217" s="146" t="s">
        <v>51</v>
      </c>
      <c r="B217" s="34"/>
      <c r="C217" s="38">
        <v>416100</v>
      </c>
      <c r="D217" s="31" t="s">
        <v>209</v>
      </c>
      <c r="E217" s="229">
        <v>20000</v>
      </c>
      <c r="F217" s="229">
        <f>G217-E217</f>
        <v>-8500</v>
      </c>
      <c r="G217" s="229">
        <v>11500</v>
      </c>
      <c r="H217" s="241">
        <f t="shared" si="26"/>
        <v>57.49999999999999</v>
      </c>
      <c r="I217" s="65">
        <f t="shared" si="25"/>
        <v>0.08325490479982625</v>
      </c>
      <c r="J217" s="229">
        <v>11500</v>
      </c>
      <c r="K217" s="229">
        <v>15000</v>
      </c>
    </row>
    <row r="218" spans="1:11" ht="24">
      <c r="A218" s="146"/>
      <c r="B218" s="34"/>
      <c r="C218" s="38"/>
      <c r="D218" s="33" t="s">
        <v>396</v>
      </c>
      <c r="E218" s="73">
        <f>SUM(E219:E220)</f>
        <v>180000</v>
      </c>
      <c r="F218" s="73">
        <f>SUM(F219:F220)</f>
        <v>0</v>
      </c>
      <c r="G218" s="73">
        <f>SUM(G219:G220)</f>
        <v>180000</v>
      </c>
      <c r="H218" s="214">
        <f t="shared" si="26"/>
        <v>100</v>
      </c>
      <c r="I218" s="147">
        <f t="shared" si="25"/>
        <v>1.3031202490407587</v>
      </c>
      <c r="J218" s="73">
        <f>SUM(J219:J220)</f>
        <v>180000</v>
      </c>
      <c r="K218" s="73">
        <f>SUM(K219:K220)</f>
        <v>180000</v>
      </c>
    </row>
    <row r="219" spans="1:11" ht="24">
      <c r="A219" s="146" t="s">
        <v>45</v>
      </c>
      <c r="B219" s="34"/>
      <c r="C219" s="38">
        <v>412500</v>
      </c>
      <c r="D219" s="31" t="s">
        <v>397</v>
      </c>
      <c r="E219" s="229">
        <v>50000</v>
      </c>
      <c r="F219" s="229">
        <f>G219-E219</f>
        <v>0</v>
      </c>
      <c r="G219" s="229">
        <v>50000</v>
      </c>
      <c r="H219" s="241">
        <f t="shared" si="26"/>
        <v>100</v>
      </c>
      <c r="I219" s="65">
        <f t="shared" si="25"/>
        <v>0.3619778469557663</v>
      </c>
      <c r="J219" s="229">
        <v>50000</v>
      </c>
      <c r="K219" s="229">
        <v>50000</v>
      </c>
    </row>
    <row r="220" spans="1:11" ht="36">
      <c r="A220" s="146" t="s">
        <v>45</v>
      </c>
      <c r="B220" s="34"/>
      <c r="C220" s="38">
        <v>511200</v>
      </c>
      <c r="D220" s="31" t="s">
        <v>424</v>
      </c>
      <c r="E220" s="229">
        <v>130000</v>
      </c>
      <c r="F220" s="229">
        <f>G220-E220</f>
        <v>0</v>
      </c>
      <c r="G220" s="229">
        <v>130000</v>
      </c>
      <c r="H220" s="241">
        <f t="shared" si="26"/>
        <v>100</v>
      </c>
      <c r="I220" s="65">
        <f t="shared" si="25"/>
        <v>0.9411424020849924</v>
      </c>
      <c r="J220" s="229">
        <v>130000</v>
      </c>
      <c r="K220" s="229">
        <v>130000</v>
      </c>
    </row>
    <row r="221" spans="1:11" ht="26.25" customHeight="1">
      <c r="A221" s="146"/>
      <c r="B221" s="34"/>
      <c r="C221" s="91"/>
      <c r="D221" s="60" t="s">
        <v>130</v>
      </c>
      <c r="E221" s="214">
        <f>SUM(E222:E225)</f>
        <v>180000</v>
      </c>
      <c r="F221" s="214">
        <f>SUM(F222:F225)</f>
        <v>-154000</v>
      </c>
      <c r="G221" s="214">
        <f>SUM(G222:G225)</f>
        <v>26000</v>
      </c>
      <c r="H221" s="214">
        <f t="shared" si="26"/>
        <v>14.444444444444443</v>
      </c>
      <c r="I221" s="147">
        <f t="shared" si="25"/>
        <v>0.1882284804169985</v>
      </c>
      <c r="J221" s="214">
        <f>SUM(J222:J225)</f>
        <v>180000</v>
      </c>
      <c r="K221" s="214">
        <f>SUM(K222:K225)</f>
        <v>170000</v>
      </c>
    </row>
    <row r="222" spans="1:11" ht="26.25" customHeight="1">
      <c r="A222" s="41" t="s">
        <v>189</v>
      </c>
      <c r="B222" s="34"/>
      <c r="C222" s="39">
        <v>412700</v>
      </c>
      <c r="D222" s="50" t="s">
        <v>131</v>
      </c>
      <c r="E222" s="229">
        <v>20000</v>
      </c>
      <c r="F222" s="229">
        <f>G222-E222</f>
        <v>0</v>
      </c>
      <c r="G222" s="229">
        <v>20000</v>
      </c>
      <c r="H222" s="241">
        <f t="shared" si="26"/>
        <v>100</v>
      </c>
      <c r="I222" s="65">
        <f t="shared" si="25"/>
        <v>0.1447911387823065</v>
      </c>
      <c r="J222" s="229">
        <v>20000</v>
      </c>
      <c r="K222" s="229">
        <v>20000</v>
      </c>
    </row>
    <row r="223" spans="1:12" ht="24" customHeight="1">
      <c r="A223" s="41" t="s">
        <v>51</v>
      </c>
      <c r="B223" s="34"/>
      <c r="C223" s="38">
        <v>412800</v>
      </c>
      <c r="D223" s="50" t="s">
        <v>339</v>
      </c>
      <c r="E223" s="229">
        <v>20000</v>
      </c>
      <c r="F223" s="229">
        <f>G223-E223</f>
        <v>-20000</v>
      </c>
      <c r="G223" s="229">
        <v>0</v>
      </c>
      <c r="H223" s="241">
        <f t="shared" si="26"/>
        <v>0</v>
      </c>
      <c r="I223" s="65">
        <f t="shared" si="25"/>
        <v>0</v>
      </c>
      <c r="J223" s="229">
        <v>20000</v>
      </c>
      <c r="K223" s="229">
        <v>20000</v>
      </c>
      <c r="L223" s="172">
        <v>0</v>
      </c>
    </row>
    <row r="224" spans="1:12" ht="26.25" customHeight="1">
      <c r="A224" s="41" t="s">
        <v>51</v>
      </c>
      <c r="B224" s="34"/>
      <c r="C224" s="38">
        <v>511100</v>
      </c>
      <c r="D224" s="98" t="s">
        <v>305</v>
      </c>
      <c r="E224" s="229">
        <v>10000</v>
      </c>
      <c r="F224" s="229">
        <f>G224-E224</f>
        <v>-8000</v>
      </c>
      <c r="G224" s="229">
        <v>2000</v>
      </c>
      <c r="H224" s="241">
        <f t="shared" si="26"/>
        <v>20</v>
      </c>
      <c r="I224" s="65">
        <f t="shared" si="25"/>
        <v>0.014479113878230651</v>
      </c>
      <c r="J224" s="229">
        <v>10000</v>
      </c>
      <c r="K224" s="229">
        <v>10000</v>
      </c>
      <c r="L224" s="172">
        <v>0</v>
      </c>
    </row>
    <row r="225" spans="1:13" ht="36.75" customHeight="1">
      <c r="A225" s="41" t="s">
        <v>187</v>
      </c>
      <c r="B225" s="34"/>
      <c r="C225" s="38">
        <v>511200</v>
      </c>
      <c r="D225" s="98" t="s">
        <v>291</v>
      </c>
      <c r="E225" s="229">
        <v>130000</v>
      </c>
      <c r="F225" s="229">
        <f>G225-E225</f>
        <v>-126000</v>
      </c>
      <c r="G225" s="229">
        <v>4000</v>
      </c>
      <c r="H225" s="241">
        <f t="shared" si="26"/>
        <v>3.076923076923077</v>
      </c>
      <c r="I225" s="65">
        <f t="shared" si="25"/>
        <v>0.028958227756461303</v>
      </c>
      <c r="J225" s="229">
        <v>130000</v>
      </c>
      <c r="K225" s="229">
        <v>120000</v>
      </c>
      <c r="L225" s="446">
        <v>123908.44</v>
      </c>
      <c r="M225" s="172">
        <v>20060.58</v>
      </c>
    </row>
    <row r="226" spans="1:11" ht="24.75" customHeight="1">
      <c r="A226" s="513"/>
      <c r="B226" s="514"/>
      <c r="C226" s="505" t="s">
        <v>91</v>
      </c>
      <c r="D226" s="505"/>
      <c r="E226" s="72">
        <f>E208+E212+E214+E216+E218+E221</f>
        <v>838400</v>
      </c>
      <c r="F226" s="72">
        <f>F208+F212+F214+F216+F218+F221</f>
        <v>-167500</v>
      </c>
      <c r="G226" s="72">
        <f>G208+G212+G214+G216+G218+G221</f>
        <v>670900</v>
      </c>
      <c r="H226" s="380">
        <f t="shared" si="26"/>
        <v>80.02146946564885</v>
      </c>
      <c r="I226" s="148">
        <f t="shared" si="25"/>
        <v>4.857018750452472</v>
      </c>
      <c r="J226" s="72">
        <f>J208+J212+J214+J216+J218+J221</f>
        <v>824900</v>
      </c>
      <c r="K226" s="72">
        <f>K208+K212+K214+K216+K218+K221</f>
        <v>818400</v>
      </c>
    </row>
    <row r="227" spans="1:12" ht="21.75" customHeight="1">
      <c r="A227" s="515"/>
      <c r="B227" s="516"/>
      <c r="C227" s="503" t="s">
        <v>129</v>
      </c>
      <c r="D227" s="504"/>
      <c r="E227" s="201"/>
      <c r="F227" s="201"/>
      <c r="G227" s="201"/>
      <c r="H227" s="201"/>
      <c r="I227" s="285"/>
      <c r="J227" s="429" t="s">
        <v>526</v>
      </c>
      <c r="K227" s="201">
        <f>G226-K226</f>
        <v>-147500</v>
      </c>
      <c r="L227" s="172"/>
    </row>
    <row r="228" spans="1:11" ht="18.75" customHeight="1">
      <c r="A228" s="519"/>
      <c r="B228" s="520"/>
      <c r="C228" s="504"/>
      <c r="D228" s="504"/>
      <c r="E228" s="203"/>
      <c r="F228" s="203"/>
      <c r="G228" s="203"/>
      <c r="H228" s="203"/>
      <c r="I228" s="287"/>
      <c r="K228" s="203"/>
    </row>
    <row r="229" spans="1:11" ht="14.25" customHeight="1">
      <c r="A229" s="146"/>
      <c r="B229" s="24">
        <v>412000</v>
      </c>
      <c r="C229" s="18"/>
      <c r="D229" s="33" t="s">
        <v>147</v>
      </c>
      <c r="E229" s="214">
        <f>SUM(E230:E240)</f>
        <v>405400</v>
      </c>
      <c r="F229" s="214">
        <f>SUM(F230:F240)</f>
        <v>96702.82</v>
      </c>
      <c r="G229" s="214">
        <f>SUM(G230:G240)</f>
        <v>502102.82</v>
      </c>
      <c r="H229" s="214">
        <f>G229/E229*100</f>
        <v>123.85368031573753</v>
      </c>
      <c r="I229" s="147">
        <f aca="true" t="shared" si="27" ref="I229:I246">G229/$G$432*100</f>
        <v>3.635001954680374</v>
      </c>
      <c r="J229" s="214">
        <f>SUM(J230:J240)</f>
        <v>501272.12</v>
      </c>
      <c r="K229" s="214">
        <f>SUM(K230:K240)</f>
        <v>461602.82</v>
      </c>
    </row>
    <row r="230" spans="1:11" ht="24.75" customHeight="1">
      <c r="A230" s="146" t="s">
        <v>28</v>
      </c>
      <c r="B230" s="34"/>
      <c r="C230" s="18">
        <v>412200</v>
      </c>
      <c r="D230" s="31" t="s">
        <v>149</v>
      </c>
      <c r="E230" s="229">
        <v>200000</v>
      </c>
      <c r="F230" s="229">
        <f>G230-E230</f>
        <v>26500</v>
      </c>
      <c r="G230" s="229">
        <v>226500</v>
      </c>
      <c r="H230" s="241">
        <f aca="true" t="shared" si="28" ref="H230:H246">G230/E230*100</f>
        <v>113.25</v>
      </c>
      <c r="I230" s="65">
        <f t="shared" si="27"/>
        <v>1.6397596467096214</v>
      </c>
      <c r="J230" s="229">
        <v>226500</v>
      </c>
      <c r="K230" s="229">
        <v>200000</v>
      </c>
    </row>
    <row r="231" spans="1:11" ht="12.75" customHeight="1">
      <c r="A231" s="146" t="s">
        <v>28</v>
      </c>
      <c r="B231" s="34"/>
      <c r="C231" s="18">
        <v>412300</v>
      </c>
      <c r="D231" s="34" t="s">
        <v>150</v>
      </c>
      <c r="E231" s="229">
        <v>63000</v>
      </c>
      <c r="F231" s="229">
        <f aca="true" t="shared" si="29" ref="F231:F240">G231-E231</f>
        <v>-10000</v>
      </c>
      <c r="G231" s="229">
        <v>53000</v>
      </c>
      <c r="H231" s="241">
        <f t="shared" si="28"/>
        <v>84.12698412698413</v>
      </c>
      <c r="I231" s="65">
        <f t="shared" si="27"/>
        <v>0.38369651777311226</v>
      </c>
      <c r="J231" s="229">
        <v>53000</v>
      </c>
      <c r="K231" s="229">
        <v>53000</v>
      </c>
    </row>
    <row r="232" spans="1:11" ht="12.75" customHeight="1">
      <c r="A232" s="146" t="s">
        <v>28</v>
      </c>
      <c r="B232" s="34"/>
      <c r="C232" s="18">
        <v>412500</v>
      </c>
      <c r="D232" s="34" t="s">
        <v>26</v>
      </c>
      <c r="E232" s="229">
        <v>23000</v>
      </c>
      <c r="F232" s="229">
        <f t="shared" si="29"/>
        <v>26472.120000000003</v>
      </c>
      <c r="G232" s="229">
        <v>49472.12</v>
      </c>
      <c r="H232" s="241">
        <f t="shared" si="28"/>
        <v>215.0961739130435</v>
      </c>
      <c r="I232" s="65">
        <f t="shared" si="27"/>
        <v>0.35815622963874616</v>
      </c>
      <c r="J232" s="229">
        <v>49472.12</v>
      </c>
      <c r="K232" s="229">
        <v>49472.12</v>
      </c>
    </row>
    <row r="233" spans="1:11" ht="23.25" customHeight="1">
      <c r="A233" s="146" t="s">
        <v>28</v>
      </c>
      <c r="B233" s="34"/>
      <c r="C233" s="18">
        <v>412600</v>
      </c>
      <c r="D233" s="31" t="s">
        <v>441</v>
      </c>
      <c r="E233" s="229">
        <v>5000</v>
      </c>
      <c r="F233" s="229">
        <f t="shared" si="29"/>
        <v>-1000</v>
      </c>
      <c r="G233" s="229">
        <v>4000</v>
      </c>
      <c r="H233" s="241">
        <f t="shared" si="28"/>
        <v>80</v>
      </c>
      <c r="I233" s="65">
        <f t="shared" si="27"/>
        <v>0.028958227756461303</v>
      </c>
      <c r="J233" s="229">
        <v>4000</v>
      </c>
      <c r="K233" s="229">
        <v>4000</v>
      </c>
    </row>
    <row r="234" spans="1:11" ht="12.75" customHeight="1">
      <c r="A234" s="146" t="s">
        <v>28</v>
      </c>
      <c r="B234" s="34"/>
      <c r="C234" s="18">
        <v>412700</v>
      </c>
      <c r="D234" s="31" t="s">
        <v>331</v>
      </c>
      <c r="E234" s="229">
        <v>70000</v>
      </c>
      <c r="F234" s="229">
        <f t="shared" si="29"/>
        <v>14000</v>
      </c>
      <c r="G234" s="229">
        <v>84000</v>
      </c>
      <c r="H234" s="241">
        <f t="shared" si="28"/>
        <v>120</v>
      </c>
      <c r="I234" s="65">
        <f t="shared" si="27"/>
        <v>0.6081227828856873</v>
      </c>
      <c r="J234" s="229">
        <v>84000</v>
      </c>
      <c r="K234" s="229">
        <v>70000</v>
      </c>
    </row>
    <row r="235" spans="1:11" ht="12.75" customHeight="1">
      <c r="A235" s="146" t="s">
        <v>28</v>
      </c>
      <c r="B235" s="34"/>
      <c r="C235" s="18">
        <v>412900</v>
      </c>
      <c r="D235" s="31" t="s">
        <v>29</v>
      </c>
      <c r="E235" s="229">
        <v>400</v>
      </c>
      <c r="F235" s="229">
        <f t="shared" si="29"/>
        <v>-360</v>
      </c>
      <c r="G235" s="229">
        <v>40</v>
      </c>
      <c r="H235" s="241">
        <f t="shared" si="28"/>
        <v>10</v>
      </c>
      <c r="I235" s="65">
        <f t="shared" si="27"/>
        <v>0.00028958227756461304</v>
      </c>
      <c r="J235" s="229">
        <v>40</v>
      </c>
      <c r="K235" s="229">
        <v>40</v>
      </c>
    </row>
    <row r="236" spans="1:11" ht="25.5" customHeight="1">
      <c r="A236" s="146" t="s">
        <v>28</v>
      </c>
      <c r="B236" s="34"/>
      <c r="C236" s="18">
        <v>412900</v>
      </c>
      <c r="D236" s="31" t="s">
        <v>330</v>
      </c>
      <c r="E236" s="211">
        <v>3000</v>
      </c>
      <c r="F236" s="229">
        <f t="shared" si="29"/>
        <v>-440</v>
      </c>
      <c r="G236" s="211">
        <v>2560</v>
      </c>
      <c r="H236" s="241">
        <f t="shared" si="28"/>
        <v>85.33333333333334</v>
      </c>
      <c r="I236" s="65">
        <f t="shared" si="27"/>
        <v>0.018533265764135234</v>
      </c>
      <c r="J236" s="211">
        <v>2560</v>
      </c>
      <c r="K236" s="211">
        <v>2560</v>
      </c>
    </row>
    <row r="237" spans="1:11" ht="25.5" customHeight="1">
      <c r="A237" s="146" t="s">
        <v>28</v>
      </c>
      <c r="B237" s="34"/>
      <c r="C237" s="18">
        <v>412900</v>
      </c>
      <c r="D237" s="31" t="s">
        <v>544</v>
      </c>
      <c r="E237" s="211">
        <v>0</v>
      </c>
      <c r="F237" s="229">
        <f t="shared" si="29"/>
        <v>830.7</v>
      </c>
      <c r="G237" s="211">
        <v>830.7</v>
      </c>
      <c r="H237" s="241" t="e">
        <f t="shared" si="28"/>
        <v>#DIV/0!</v>
      </c>
      <c r="I237" s="65">
        <f t="shared" si="27"/>
        <v>0.0060138999493231015</v>
      </c>
      <c r="J237" s="211"/>
      <c r="K237" s="211">
        <v>830.7</v>
      </c>
    </row>
    <row r="238" spans="1:11" ht="12.75">
      <c r="A238" s="146" t="s">
        <v>28</v>
      </c>
      <c r="B238" s="34"/>
      <c r="C238" s="18">
        <v>412900</v>
      </c>
      <c r="D238" s="31" t="s">
        <v>332</v>
      </c>
      <c r="E238" s="211">
        <v>41000</v>
      </c>
      <c r="F238" s="229">
        <f t="shared" si="29"/>
        <v>26700</v>
      </c>
      <c r="G238" s="211">
        <v>67700</v>
      </c>
      <c r="H238" s="241">
        <f t="shared" si="28"/>
        <v>165.1219512195122</v>
      </c>
      <c r="I238" s="65">
        <f t="shared" si="27"/>
        <v>0.4901180047781076</v>
      </c>
      <c r="J238" s="211">
        <v>67700</v>
      </c>
      <c r="K238" s="211">
        <v>67700</v>
      </c>
    </row>
    <row r="239" spans="1:11" ht="24">
      <c r="A239" s="146" t="s">
        <v>28</v>
      </c>
      <c r="B239" s="34"/>
      <c r="C239" s="18">
        <v>412900</v>
      </c>
      <c r="D239" s="31" t="s">
        <v>359</v>
      </c>
      <c r="E239" s="211">
        <v>0</v>
      </c>
      <c r="F239" s="229">
        <f t="shared" si="29"/>
        <v>8000</v>
      </c>
      <c r="G239" s="211">
        <v>8000</v>
      </c>
      <c r="H239" s="241" t="e">
        <f t="shared" si="28"/>
        <v>#DIV/0!</v>
      </c>
      <c r="I239" s="65">
        <f t="shared" si="27"/>
        <v>0.057916455512922606</v>
      </c>
      <c r="J239" s="211">
        <v>8000</v>
      </c>
      <c r="K239" s="211">
        <v>8000</v>
      </c>
    </row>
    <row r="240" spans="1:11" ht="48">
      <c r="A240" s="146" t="s">
        <v>28</v>
      </c>
      <c r="B240" s="34"/>
      <c r="C240" s="18">
        <v>412900</v>
      </c>
      <c r="D240" s="31" t="s">
        <v>458</v>
      </c>
      <c r="E240" s="211">
        <v>0</v>
      </c>
      <c r="F240" s="229">
        <f t="shared" si="29"/>
        <v>6000</v>
      </c>
      <c r="G240" s="211">
        <v>6000</v>
      </c>
      <c r="H240" s="241" t="e">
        <f t="shared" si="28"/>
        <v>#DIV/0!</v>
      </c>
      <c r="I240" s="65">
        <f t="shared" si="27"/>
        <v>0.043437341634691956</v>
      </c>
      <c r="J240" s="211">
        <v>6000</v>
      </c>
      <c r="K240" s="211">
        <v>6000</v>
      </c>
    </row>
    <row r="241" spans="1:11" ht="14.25" customHeight="1">
      <c r="A241" s="146"/>
      <c r="B241" s="24">
        <v>511000</v>
      </c>
      <c r="C241" s="34"/>
      <c r="D241" s="33" t="s">
        <v>165</v>
      </c>
      <c r="E241" s="214">
        <f>SUM(E242:E243)</f>
        <v>55000</v>
      </c>
      <c r="F241" s="214">
        <f>SUM(F242:F243)</f>
        <v>15600</v>
      </c>
      <c r="G241" s="214">
        <f>SUM(G242:G243)</f>
        <v>70600</v>
      </c>
      <c r="H241" s="214">
        <f t="shared" si="28"/>
        <v>128.36363636363637</v>
      </c>
      <c r="I241" s="147">
        <f t="shared" si="27"/>
        <v>0.5111127199015421</v>
      </c>
      <c r="J241" s="214">
        <f>SUM(J242:J243)</f>
        <v>70600</v>
      </c>
      <c r="K241" s="214">
        <f>SUM(K242:K243)</f>
        <v>70600</v>
      </c>
    </row>
    <row r="242" spans="1:11" ht="24" customHeight="1">
      <c r="A242" s="146" t="s">
        <v>28</v>
      </c>
      <c r="B242" s="34"/>
      <c r="C242" s="43">
        <v>511200</v>
      </c>
      <c r="D242" s="44" t="s">
        <v>175</v>
      </c>
      <c r="E242" s="229">
        <v>10000</v>
      </c>
      <c r="F242" s="229">
        <f>G242-E242</f>
        <v>-8400</v>
      </c>
      <c r="G242" s="229">
        <v>1600</v>
      </c>
      <c r="H242" s="241">
        <f t="shared" si="28"/>
        <v>16</v>
      </c>
      <c r="I242" s="65">
        <f t="shared" si="27"/>
        <v>0.011583291102584522</v>
      </c>
      <c r="J242" s="229">
        <v>1600</v>
      </c>
      <c r="K242" s="229">
        <v>1600</v>
      </c>
    </row>
    <row r="243" spans="1:11" ht="12.75">
      <c r="A243" s="146" t="s">
        <v>28</v>
      </c>
      <c r="B243" s="34"/>
      <c r="C243" s="34">
        <v>511300</v>
      </c>
      <c r="D243" s="34" t="s">
        <v>2</v>
      </c>
      <c r="E243" s="229">
        <v>45000</v>
      </c>
      <c r="F243" s="229">
        <f>G243-E243</f>
        <v>24000</v>
      </c>
      <c r="G243" s="229">
        <v>69000</v>
      </c>
      <c r="H243" s="241">
        <f t="shared" si="28"/>
        <v>153.33333333333334</v>
      </c>
      <c r="I243" s="65">
        <f t="shared" si="27"/>
        <v>0.4995294287989575</v>
      </c>
      <c r="J243" s="229">
        <v>69000</v>
      </c>
      <c r="K243" s="229">
        <v>69000</v>
      </c>
    </row>
    <row r="244" spans="1:11" ht="24.75" customHeight="1">
      <c r="A244" s="146"/>
      <c r="B244" s="24">
        <v>516000</v>
      </c>
      <c r="C244" s="34"/>
      <c r="D244" s="33" t="s">
        <v>382</v>
      </c>
      <c r="E244" s="214">
        <f>SUM(E245)</f>
        <v>9500</v>
      </c>
      <c r="F244" s="214">
        <f>SUM(F245)</f>
        <v>-3296</v>
      </c>
      <c r="G244" s="214">
        <f>SUM(G245)</f>
        <v>6204</v>
      </c>
      <c r="H244" s="214">
        <f t="shared" si="28"/>
        <v>65.30526315789473</v>
      </c>
      <c r="I244" s="174">
        <f t="shared" si="27"/>
        <v>0.04491421125027149</v>
      </c>
      <c r="J244" s="214">
        <f>SUM(J245)</f>
        <v>6204</v>
      </c>
      <c r="K244" s="214">
        <f>SUM(K245)</f>
        <v>6204</v>
      </c>
    </row>
    <row r="245" spans="1:11" ht="24.75" customHeight="1">
      <c r="A245" s="146" t="s">
        <v>28</v>
      </c>
      <c r="B245" s="34"/>
      <c r="C245" s="34">
        <v>516100</v>
      </c>
      <c r="D245" s="31" t="s">
        <v>301</v>
      </c>
      <c r="E245" s="213">
        <v>9500</v>
      </c>
      <c r="F245" s="213">
        <f>G245-E245</f>
        <v>-3296</v>
      </c>
      <c r="G245" s="213">
        <v>6204</v>
      </c>
      <c r="H245" s="379">
        <f t="shared" si="28"/>
        <v>65.30526315789473</v>
      </c>
      <c r="I245" s="173">
        <f t="shared" si="27"/>
        <v>0.04491421125027149</v>
      </c>
      <c r="J245" s="213">
        <v>6204</v>
      </c>
      <c r="K245" s="213">
        <v>6204</v>
      </c>
    </row>
    <row r="246" spans="1:11" ht="25.5" customHeight="1">
      <c r="A246" s="513"/>
      <c r="B246" s="514"/>
      <c r="C246" s="505" t="s">
        <v>92</v>
      </c>
      <c r="D246" s="506"/>
      <c r="E246" s="72">
        <f>E229+E241+E244</f>
        <v>469900</v>
      </c>
      <c r="F246" s="72">
        <f>F229+F241+F244</f>
        <v>109006.82</v>
      </c>
      <c r="G246" s="72">
        <f>G229+G241+G244</f>
        <v>578906.8200000001</v>
      </c>
      <c r="H246" s="380">
        <f t="shared" si="28"/>
        <v>123.19787614386041</v>
      </c>
      <c r="I246" s="148">
        <f t="shared" si="27"/>
        <v>4.191028885832187</v>
      </c>
      <c r="J246" s="72">
        <f>J229+J241+J244</f>
        <v>578076.12</v>
      </c>
      <c r="K246" s="72">
        <f>K229+K241+K244</f>
        <v>538406.8200000001</v>
      </c>
    </row>
    <row r="247" spans="1:11" ht="12.75">
      <c r="A247" s="515"/>
      <c r="B247" s="516"/>
      <c r="C247" s="503" t="s">
        <v>328</v>
      </c>
      <c r="D247" s="504"/>
      <c r="E247" s="201"/>
      <c r="F247" s="201"/>
      <c r="G247" s="201"/>
      <c r="H247" s="201"/>
      <c r="I247" s="285"/>
      <c r="K247" s="201"/>
    </row>
    <row r="248" spans="1:11" ht="12.75">
      <c r="A248" s="517"/>
      <c r="B248" s="518"/>
      <c r="C248" s="504"/>
      <c r="D248" s="504"/>
      <c r="E248" s="202"/>
      <c r="F248" s="202"/>
      <c r="G248" s="202"/>
      <c r="H248" s="202"/>
      <c r="I248" s="286"/>
      <c r="J248" s="429" t="s">
        <v>526</v>
      </c>
      <c r="K248" s="202">
        <f>G246-K246</f>
        <v>40500</v>
      </c>
    </row>
    <row r="249" spans="1:11" ht="11.25" customHeight="1">
      <c r="A249" s="519"/>
      <c r="B249" s="520"/>
      <c r="C249" s="504"/>
      <c r="D249" s="504"/>
      <c r="E249" s="203"/>
      <c r="F249" s="203"/>
      <c r="G249" s="203"/>
      <c r="H249" s="203"/>
      <c r="I249" s="287"/>
      <c r="K249" s="203"/>
    </row>
    <row r="250" spans="1:11" ht="15" customHeight="1">
      <c r="A250" s="146"/>
      <c r="B250" s="24">
        <v>412000</v>
      </c>
      <c r="C250" s="18"/>
      <c r="D250" s="33" t="s">
        <v>147</v>
      </c>
      <c r="E250" s="214">
        <f>SUM(E251:E257)</f>
        <v>28400</v>
      </c>
      <c r="F250" s="214">
        <f>SUM(F251:F257)</f>
        <v>540</v>
      </c>
      <c r="G250" s="214">
        <f>SUM(G251:G257)</f>
        <v>28940</v>
      </c>
      <c r="H250" s="214">
        <f>G250/E250*100</f>
        <v>101.90140845070424</v>
      </c>
      <c r="I250" s="147">
        <f aca="true" t="shared" si="30" ref="I250:I264">G250/$G$432*100</f>
        <v>0.20951277781799754</v>
      </c>
      <c r="J250" s="214">
        <f>SUM(J251:J257)</f>
        <v>28940</v>
      </c>
      <c r="K250" s="214">
        <f>SUM(K251:K257)</f>
        <v>28940</v>
      </c>
    </row>
    <row r="251" spans="1:11" ht="24">
      <c r="A251" s="146" t="s">
        <v>60</v>
      </c>
      <c r="B251" s="24"/>
      <c r="C251" s="18">
        <v>412200</v>
      </c>
      <c r="D251" s="31" t="s">
        <v>149</v>
      </c>
      <c r="E251" s="229">
        <v>11000</v>
      </c>
      <c r="F251" s="229">
        <f>G251-E251</f>
        <v>0</v>
      </c>
      <c r="G251" s="229">
        <v>11000</v>
      </c>
      <c r="H251" s="241">
        <f aca="true" t="shared" si="31" ref="H251:H264">G251/E251*100</f>
        <v>100</v>
      </c>
      <c r="I251" s="149">
        <f t="shared" si="30"/>
        <v>0.07963512633026859</v>
      </c>
      <c r="J251" s="229">
        <v>11000</v>
      </c>
      <c r="K251" s="229">
        <v>11000</v>
      </c>
    </row>
    <row r="252" spans="1:11" ht="12.75">
      <c r="A252" s="146" t="s">
        <v>60</v>
      </c>
      <c r="B252" s="24"/>
      <c r="C252" s="18">
        <v>412300</v>
      </c>
      <c r="D252" s="34" t="s">
        <v>150</v>
      </c>
      <c r="E252" s="229">
        <v>500</v>
      </c>
      <c r="F252" s="229">
        <f aca="true" t="shared" si="32" ref="F252:F257">G252-E252</f>
        <v>0</v>
      </c>
      <c r="G252" s="229">
        <v>500</v>
      </c>
      <c r="H252" s="241">
        <f t="shared" si="31"/>
        <v>100</v>
      </c>
      <c r="I252" s="149">
        <f t="shared" si="30"/>
        <v>0.003619778469557663</v>
      </c>
      <c r="J252" s="229">
        <v>500</v>
      </c>
      <c r="K252" s="229">
        <v>500</v>
      </c>
    </row>
    <row r="253" spans="1:11" ht="12.75">
      <c r="A253" s="146" t="s">
        <v>60</v>
      </c>
      <c r="B253" s="24"/>
      <c r="C253" s="18">
        <v>412400</v>
      </c>
      <c r="D253" s="31" t="s">
        <v>151</v>
      </c>
      <c r="E253" s="229">
        <v>3000</v>
      </c>
      <c r="F253" s="229">
        <f t="shared" si="32"/>
        <v>-60</v>
      </c>
      <c r="G253" s="229">
        <v>2940</v>
      </c>
      <c r="H253" s="241">
        <f t="shared" si="31"/>
        <v>98</v>
      </c>
      <c r="I253" s="149">
        <f t="shared" si="30"/>
        <v>0.021284297400999058</v>
      </c>
      <c r="J253" s="229">
        <v>2940</v>
      </c>
      <c r="K253" s="229">
        <v>2940</v>
      </c>
    </row>
    <row r="254" spans="1:11" ht="12.75">
      <c r="A254" s="146" t="s">
        <v>60</v>
      </c>
      <c r="B254" s="24"/>
      <c r="C254" s="18">
        <v>412500</v>
      </c>
      <c r="D254" s="34" t="s">
        <v>152</v>
      </c>
      <c r="E254" s="229">
        <v>8000</v>
      </c>
      <c r="F254" s="229">
        <f t="shared" si="32"/>
        <v>-1200</v>
      </c>
      <c r="G254" s="229">
        <v>6800</v>
      </c>
      <c r="H254" s="241">
        <f t="shared" si="31"/>
        <v>85</v>
      </c>
      <c r="I254" s="149">
        <f t="shared" si="30"/>
        <v>0.049228987185984216</v>
      </c>
      <c r="J254" s="229">
        <v>6800</v>
      </c>
      <c r="K254" s="229">
        <v>6800</v>
      </c>
    </row>
    <row r="255" spans="1:11" ht="12.75">
      <c r="A255" s="146" t="s">
        <v>60</v>
      </c>
      <c r="B255" s="24"/>
      <c r="C255" s="79">
        <v>412700</v>
      </c>
      <c r="D255" s="79" t="s">
        <v>154</v>
      </c>
      <c r="E255" s="229">
        <v>3000</v>
      </c>
      <c r="F255" s="229">
        <f t="shared" si="32"/>
        <v>-200</v>
      </c>
      <c r="G255" s="229">
        <v>2800</v>
      </c>
      <c r="H255" s="241">
        <f t="shared" si="31"/>
        <v>93.33333333333333</v>
      </c>
      <c r="I255" s="149">
        <f t="shared" si="30"/>
        <v>0.020270759429522913</v>
      </c>
      <c r="J255" s="229">
        <v>2800</v>
      </c>
      <c r="K255" s="229">
        <v>2800</v>
      </c>
    </row>
    <row r="256" spans="1:11" ht="12.75">
      <c r="A256" s="146" t="s">
        <v>60</v>
      </c>
      <c r="B256" s="24"/>
      <c r="C256" s="79">
        <v>412900</v>
      </c>
      <c r="D256" s="34" t="s">
        <v>0</v>
      </c>
      <c r="E256" s="229">
        <v>400</v>
      </c>
      <c r="F256" s="229">
        <f t="shared" si="32"/>
        <v>0</v>
      </c>
      <c r="G256" s="229">
        <v>400</v>
      </c>
      <c r="H256" s="241">
        <f t="shared" si="31"/>
        <v>100</v>
      </c>
      <c r="I256" s="149">
        <f t="shared" si="30"/>
        <v>0.0028958227756461304</v>
      </c>
      <c r="J256" s="229">
        <v>400</v>
      </c>
      <c r="K256" s="229">
        <v>400</v>
      </c>
    </row>
    <row r="257" spans="1:11" ht="12.75">
      <c r="A257" s="146" t="s">
        <v>60</v>
      </c>
      <c r="B257" s="24"/>
      <c r="C257" s="79">
        <v>412900</v>
      </c>
      <c r="D257" s="79" t="s">
        <v>156</v>
      </c>
      <c r="E257" s="229">
        <v>2500</v>
      </c>
      <c r="F257" s="229">
        <f t="shared" si="32"/>
        <v>2000</v>
      </c>
      <c r="G257" s="229">
        <v>4500</v>
      </c>
      <c r="H257" s="241">
        <f t="shared" si="31"/>
        <v>180</v>
      </c>
      <c r="I257" s="149">
        <f t="shared" si="30"/>
        <v>0.03257800622601897</v>
      </c>
      <c r="J257" s="229">
        <v>4500</v>
      </c>
      <c r="K257" s="229">
        <v>4500</v>
      </c>
    </row>
    <row r="258" spans="1:11" ht="12.75">
      <c r="A258" s="146"/>
      <c r="B258" s="24">
        <v>415000</v>
      </c>
      <c r="C258" s="79"/>
      <c r="D258" s="36" t="s">
        <v>161</v>
      </c>
      <c r="E258" s="214">
        <f>SUM(E259:E259)</f>
        <v>6500</v>
      </c>
      <c r="F258" s="214">
        <f>SUM(F259:F259)</f>
        <v>-650</v>
      </c>
      <c r="G258" s="214">
        <f>SUM(G259:G259)</f>
        <v>5850</v>
      </c>
      <c r="H258" s="214">
        <f t="shared" si="31"/>
        <v>90</v>
      </c>
      <c r="I258" s="174">
        <f t="shared" si="30"/>
        <v>0.042351408093824656</v>
      </c>
      <c r="J258" s="214">
        <f>SUM(J259:J259)</f>
        <v>5850</v>
      </c>
      <c r="K258" s="214">
        <f>SUM(K259:K259)</f>
        <v>5850</v>
      </c>
    </row>
    <row r="259" spans="1:11" ht="23.25" customHeight="1">
      <c r="A259" s="146" t="s">
        <v>60</v>
      </c>
      <c r="B259" s="24"/>
      <c r="C259" s="79">
        <v>415200</v>
      </c>
      <c r="D259" s="31" t="s">
        <v>366</v>
      </c>
      <c r="E259" s="241">
        <v>6500</v>
      </c>
      <c r="F259" s="241">
        <f>G259-E259</f>
        <v>-650</v>
      </c>
      <c r="G259" s="241">
        <v>5850</v>
      </c>
      <c r="H259" s="241">
        <f t="shared" si="31"/>
        <v>90</v>
      </c>
      <c r="I259" s="149">
        <f t="shared" si="30"/>
        <v>0.042351408093824656</v>
      </c>
      <c r="J259" s="241">
        <v>5850</v>
      </c>
      <c r="K259" s="241">
        <v>5850</v>
      </c>
    </row>
    <row r="260" spans="1:16" ht="14.25" customHeight="1">
      <c r="A260" s="146"/>
      <c r="B260" s="24">
        <v>511000</v>
      </c>
      <c r="C260" s="18"/>
      <c r="D260" s="33" t="s">
        <v>165</v>
      </c>
      <c r="E260" s="214">
        <f>SUM(E261:E263)</f>
        <v>220000</v>
      </c>
      <c r="F260" s="214">
        <f>SUM(F261:F263)</f>
        <v>-67713.5</v>
      </c>
      <c r="G260" s="214">
        <f>SUM(G261:G263)</f>
        <v>152286.5</v>
      </c>
      <c r="H260" s="214">
        <f t="shared" si="31"/>
        <v>69.22113636363636</v>
      </c>
      <c r="I260" s="147">
        <f t="shared" si="30"/>
        <v>1.1024867878085862</v>
      </c>
      <c r="J260" s="214">
        <f>SUM(J261:J263)</f>
        <v>212286.5</v>
      </c>
      <c r="K260" s="214">
        <f>SUM(K261:K263)</f>
        <v>217286.5</v>
      </c>
      <c r="L260" s="242"/>
      <c r="M260" s="242"/>
      <c r="N260" s="242"/>
      <c r="O260" s="242"/>
      <c r="P260" s="242"/>
    </row>
    <row r="261" spans="1:16" ht="12.75" customHeight="1">
      <c r="A261" s="146" t="s">
        <v>60</v>
      </c>
      <c r="B261" s="24"/>
      <c r="C261" s="18">
        <v>511100</v>
      </c>
      <c r="D261" s="35" t="s">
        <v>62</v>
      </c>
      <c r="E261" s="229">
        <v>90000</v>
      </c>
      <c r="F261" s="229">
        <f>G261-E261</f>
        <v>-90000</v>
      </c>
      <c r="G261" s="229">
        <v>0</v>
      </c>
      <c r="H261" s="241">
        <f t="shared" si="31"/>
        <v>0</v>
      </c>
      <c r="I261" s="149">
        <f t="shared" si="30"/>
        <v>0</v>
      </c>
      <c r="J261" s="229">
        <v>60000</v>
      </c>
      <c r="K261" s="229">
        <v>60000</v>
      </c>
      <c r="L261" s="447">
        <v>60000</v>
      </c>
      <c r="M261" s="242"/>
      <c r="N261" s="242"/>
      <c r="O261" s="242"/>
      <c r="P261" s="242"/>
    </row>
    <row r="262" spans="1:16" ht="12.75">
      <c r="A262" s="146" t="s">
        <v>60</v>
      </c>
      <c r="B262" s="24"/>
      <c r="C262" s="18">
        <v>511300</v>
      </c>
      <c r="D262" s="35" t="s">
        <v>2</v>
      </c>
      <c r="E262" s="71">
        <v>100000</v>
      </c>
      <c r="F262" s="229">
        <f>G262-E262</f>
        <v>34000</v>
      </c>
      <c r="G262" s="71">
        <v>134000</v>
      </c>
      <c r="H262" s="241">
        <f t="shared" si="31"/>
        <v>134</v>
      </c>
      <c r="I262" s="149">
        <f t="shared" si="30"/>
        <v>0.9701006298414537</v>
      </c>
      <c r="J262" s="71">
        <v>134000</v>
      </c>
      <c r="K262" s="71">
        <v>134000</v>
      </c>
      <c r="L262" s="223"/>
      <c r="M262" s="223"/>
      <c r="N262" s="223"/>
      <c r="O262" s="223"/>
      <c r="P262" s="223"/>
    </row>
    <row r="263" spans="1:16" ht="12.75">
      <c r="A263" s="239" t="s">
        <v>60</v>
      </c>
      <c r="B263" s="24"/>
      <c r="C263" s="18">
        <v>511400</v>
      </c>
      <c r="D263" s="35" t="s">
        <v>373</v>
      </c>
      <c r="E263" s="71">
        <v>30000</v>
      </c>
      <c r="F263" s="229">
        <f>G263-E263</f>
        <v>-11713.5</v>
      </c>
      <c r="G263" s="71">
        <v>18286.5</v>
      </c>
      <c r="H263" s="379">
        <f t="shared" si="31"/>
        <v>60.955000000000005</v>
      </c>
      <c r="I263" s="169">
        <f t="shared" si="30"/>
        <v>0.1323861579671324</v>
      </c>
      <c r="J263" s="71">
        <v>18286.5</v>
      </c>
      <c r="K263" s="71">
        <v>23286.5</v>
      </c>
      <c r="L263" s="223"/>
      <c r="M263" s="223"/>
      <c r="N263" s="223"/>
      <c r="O263" s="223"/>
      <c r="P263" s="223"/>
    </row>
    <row r="264" spans="1:11" ht="30" customHeight="1">
      <c r="A264" s="513"/>
      <c r="B264" s="514"/>
      <c r="C264" s="505" t="s">
        <v>333</v>
      </c>
      <c r="D264" s="506"/>
      <c r="E264" s="72">
        <f>E250+E258+E260</f>
        <v>254900</v>
      </c>
      <c r="F264" s="72">
        <f>F250+F258+F260</f>
        <v>-67823.5</v>
      </c>
      <c r="G264" s="72">
        <f>G250+G258+G260</f>
        <v>187076.5</v>
      </c>
      <c r="H264" s="380">
        <f t="shared" si="31"/>
        <v>73.39211455472734</v>
      </c>
      <c r="I264" s="148">
        <f t="shared" si="30"/>
        <v>1.3543509737204082</v>
      </c>
      <c r="J264" s="72">
        <f>J250+J258+J260</f>
        <v>247076.5</v>
      </c>
      <c r="K264" s="72">
        <f>K250+K258+K260</f>
        <v>252076.5</v>
      </c>
    </row>
    <row r="265" spans="1:11" ht="12.75">
      <c r="A265" s="507"/>
      <c r="B265" s="508"/>
      <c r="C265" s="503" t="s">
        <v>378</v>
      </c>
      <c r="D265" s="504"/>
      <c r="E265" s="201"/>
      <c r="F265" s="201"/>
      <c r="G265" s="201"/>
      <c r="H265" s="201"/>
      <c r="I265" s="285"/>
      <c r="K265" s="201"/>
    </row>
    <row r="266" spans="1:11" ht="12.75">
      <c r="A266" s="509"/>
      <c r="B266" s="510"/>
      <c r="C266" s="504"/>
      <c r="D266" s="504"/>
      <c r="E266" s="202"/>
      <c r="F266" s="202"/>
      <c r="G266" s="202"/>
      <c r="H266" s="202"/>
      <c r="I266" s="286"/>
      <c r="J266" s="429" t="s">
        <v>526</v>
      </c>
      <c r="K266" s="202">
        <f>G264-K264</f>
        <v>-65000</v>
      </c>
    </row>
    <row r="267" spans="1:11" ht="12.75" customHeight="1">
      <c r="A267" s="511"/>
      <c r="B267" s="512"/>
      <c r="C267" s="504"/>
      <c r="D267" s="504"/>
      <c r="E267" s="203"/>
      <c r="F267" s="203"/>
      <c r="G267" s="203"/>
      <c r="H267" s="203"/>
      <c r="I267" s="287"/>
      <c r="K267" s="203"/>
    </row>
    <row r="268" spans="1:11" ht="14.25" customHeight="1">
      <c r="A268" s="146"/>
      <c r="B268" s="24">
        <v>411000</v>
      </c>
      <c r="C268" s="37"/>
      <c r="D268" s="27" t="s">
        <v>425</v>
      </c>
      <c r="E268" s="64">
        <f>SUM(E269:E272)</f>
        <v>260800</v>
      </c>
      <c r="F268" s="64">
        <f>SUM(F269:F272)</f>
        <v>-23000</v>
      </c>
      <c r="G268" s="64">
        <f>SUM(G269:G272)</f>
        <v>237800</v>
      </c>
      <c r="H268" s="214">
        <f>G268/E268*100</f>
        <v>91.18098159509202</v>
      </c>
      <c r="I268" s="147">
        <f aca="true" t="shared" si="33" ref="I268:I296">G268/$G$432*100</f>
        <v>1.7215666401216245</v>
      </c>
      <c r="J268" s="64">
        <f>SUM(J269:J272)</f>
        <v>237800</v>
      </c>
      <c r="K268" s="64">
        <f>SUM(K269:K272)</f>
        <v>237800</v>
      </c>
    </row>
    <row r="269" spans="1:11" ht="12.75" customHeight="1">
      <c r="A269" s="146">
        <v>1090</v>
      </c>
      <c r="B269" s="34"/>
      <c r="C269" s="18">
        <v>411100</v>
      </c>
      <c r="D269" s="28" t="s">
        <v>419</v>
      </c>
      <c r="E269" s="229">
        <v>190000</v>
      </c>
      <c r="F269" s="229">
        <f>G269-E269</f>
        <v>-6500</v>
      </c>
      <c r="G269" s="229">
        <v>183500</v>
      </c>
      <c r="H269" s="241">
        <f aca="true" t="shared" si="34" ref="H269:H296">G269/E269*100</f>
        <v>96.57894736842105</v>
      </c>
      <c r="I269" s="65">
        <f t="shared" si="33"/>
        <v>1.3284586983276625</v>
      </c>
      <c r="J269" s="229">
        <v>183500</v>
      </c>
      <c r="K269" s="229">
        <v>183500</v>
      </c>
    </row>
    <row r="270" spans="1:11" ht="23.25" customHeight="1">
      <c r="A270" s="146">
        <v>1090</v>
      </c>
      <c r="B270" s="34"/>
      <c r="C270" s="18">
        <v>411200</v>
      </c>
      <c r="D270" s="28" t="s">
        <v>426</v>
      </c>
      <c r="E270" s="229">
        <v>60000</v>
      </c>
      <c r="F270" s="229">
        <f>G270-E270</f>
        <v>-10000</v>
      </c>
      <c r="G270" s="229">
        <v>50000</v>
      </c>
      <c r="H270" s="241">
        <f t="shared" si="34"/>
        <v>83.33333333333334</v>
      </c>
      <c r="I270" s="65">
        <f t="shared" si="33"/>
        <v>0.3619778469557663</v>
      </c>
      <c r="J270" s="229">
        <v>50000</v>
      </c>
      <c r="K270" s="229">
        <v>50000</v>
      </c>
    </row>
    <row r="271" spans="1:11" ht="25.5" customHeight="1">
      <c r="A271" s="146">
        <v>1090</v>
      </c>
      <c r="B271" s="34"/>
      <c r="C271" s="18">
        <v>411300</v>
      </c>
      <c r="D271" s="28" t="s">
        <v>420</v>
      </c>
      <c r="E271" s="229">
        <v>2800</v>
      </c>
      <c r="F271" s="229">
        <f>G271-E271</f>
        <v>-1500</v>
      </c>
      <c r="G271" s="229">
        <v>1300</v>
      </c>
      <c r="H271" s="241">
        <f t="shared" si="34"/>
        <v>46.42857142857143</v>
      </c>
      <c r="I271" s="65">
        <f t="shared" si="33"/>
        <v>0.009411424020849924</v>
      </c>
      <c r="J271" s="229">
        <v>1300</v>
      </c>
      <c r="K271" s="229">
        <v>1300</v>
      </c>
    </row>
    <row r="272" spans="1:11" ht="12.75" customHeight="1">
      <c r="A272" s="146">
        <v>1090</v>
      </c>
      <c r="B272" s="34"/>
      <c r="C272" s="18">
        <v>411400</v>
      </c>
      <c r="D272" s="30" t="s">
        <v>421</v>
      </c>
      <c r="E272" s="229">
        <v>8000</v>
      </c>
      <c r="F272" s="229">
        <f>G272-E272</f>
        <v>-5000</v>
      </c>
      <c r="G272" s="229">
        <v>3000</v>
      </c>
      <c r="H272" s="241">
        <f t="shared" si="34"/>
        <v>37.5</v>
      </c>
      <c r="I272" s="65">
        <f t="shared" si="33"/>
        <v>0.021718670817345978</v>
      </c>
      <c r="J272" s="229">
        <v>3000</v>
      </c>
      <c r="K272" s="229">
        <v>3000</v>
      </c>
    </row>
    <row r="273" spans="1:11" ht="14.25" customHeight="1">
      <c r="A273" s="146"/>
      <c r="B273" s="24">
        <v>412000</v>
      </c>
      <c r="C273" s="18"/>
      <c r="D273" s="33" t="s">
        <v>147</v>
      </c>
      <c r="E273" s="214">
        <f>SUM(E274:E280)</f>
        <v>109100</v>
      </c>
      <c r="F273" s="214">
        <f>SUM(F274:F280)</f>
        <v>20500</v>
      </c>
      <c r="G273" s="214">
        <f>SUM(G274:G280)</f>
        <v>129600</v>
      </c>
      <c r="H273" s="214">
        <f t="shared" si="34"/>
        <v>118.79010082493127</v>
      </c>
      <c r="I273" s="147">
        <f t="shared" si="33"/>
        <v>0.9382465793093462</v>
      </c>
      <c r="J273" s="214">
        <f>SUM(J274:J280)</f>
        <v>129600</v>
      </c>
      <c r="K273" s="214">
        <f>SUM(K274:K280)</f>
        <v>129600</v>
      </c>
    </row>
    <row r="274" spans="1:11" ht="12.75" customHeight="1">
      <c r="A274" s="146">
        <v>1090</v>
      </c>
      <c r="B274" s="34"/>
      <c r="C274" s="18">
        <v>412100</v>
      </c>
      <c r="D274" s="31" t="s">
        <v>148</v>
      </c>
      <c r="E274" s="229">
        <v>25000</v>
      </c>
      <c r="F274" s="229">
        <f>G274-E274</f>
        <v>-760</v>
      </c>
      <c r="G274" s="229">
        <v>24240</v>
      </c>
      <c r="H274" s="241">
        <f t="shared" si="34"/>
        <v>96.96000000000001</v>
      </c>
      <c r="I274" s="65">
        <f t="shared" si="33"/>
        <v>0.1754868602041555</v>
      </c>
      <c r="J274" s="229">
        <v>24240</v>
      </c>
      <c r="K274" s="229">
        <v>24240</v>
      </c>
    </row>
    <row r="275" spans="1:11" ht="24" customHeight="1">
      <c r="A275" s="146">
        <v>1090</v>
      </c>
      <c r="B275" s="34"/>
      <c r="C275" s="18">
        <v>412200</v>
      </c>
      <c r="D275" s="31" t="s">
        <v>149</v>
      </c>
      <c r="E275" s="229">
        <v>65000</v>
      </c>
      <c r="F275" s="229">
        <f aca="true" t="shared" si="35" ref="F275:F280">G275-E275</f>
        <v>14760</v>
      </c>
      <c r="G275" s="229">
        <v>79760</v>
      </c>
      <c r="H275" s="241">
        <f t="shared" si="34"/>
        <v>122.70769230769231</v>
      </c>
      <c r="I275" s="65">
        <f t="shared" si="33"/>
        <v>0.5774270614638384</v>
      </c>
      <c r="J275" s="229">
        <v>79760</v>
      </c>
      <c r="K275" s="229">
        <v>79760</v>
      </c>
    </row>
    <row r="276" spans="1:11" ht="12.75" customHeight="1">
      <c r="A276" s="146">
        <v>1090</v>
      </c>
      <c r="B276" s="34"/>
      <c r="C276" s="18">
        <v>412300</v>
      </c>
      <c r="D276" s="34" t="s">
        <v>150</v>
      </c>
      <c r="E276" s="229">
        <v>8000</v>
      </c>
      <c r="F276" s="229">
        <f t="shared" si="35"/>
        <v>0</v>
      </c>
      <c r="G276" s="229">
        <v>8000</v>
      </c>
      <c r="H276" s="241">
        <f t="shared" si="34"/>
        <v>100</v>
      </c>
      <c r="I276" s="65">
        <f t="shared" si="33"/>
        <v>0.057916455512922606</v>
      </c>
      <c r="J276" s="229">
        <v>8000</v>
      </c>
      <c r="K276" s="229">
        <v>8000</v>
      </c>
    </row>
    <row r="277" spans="1:11" ht="12.75" customHeight="1">
      <c r="A277" s="146">
        <v>1090</v>
      </c>
      <c r="B277" s="34"/>
      <c r="C277" s="18">
        <v>412500</v>
      </c>
      <c r="D277" s="34" t="s">
        <v>152</v>
      </c>
      <c r="E277" s="229">
        <v>1500</v>
      </c>
      <c r="F277" s="229">
        <f t="shared" si="35"/>
        <v>0</v>
      </c>
      <c r="G277" s="229">
        <v>1500</v>
      </c>
      <c r="H277" s="241">
        <f t="shared" si="34"/>
        <v>100</v>
      </c>
      <c r="I277" s="65">
        <f t="shared" si="33"/>
        <v>0.010859335408672989</v>
      </c>
      <c r="J277" s="229">
        <v>1500</v>
      </c>
      <c r="K277" s="229">
        <v>1500</v>
      </c>
    </row>
    <row r="278" spans="1:11" ht="12.75" customHeight="1">
      <c r="A278" s="146">
        <v>1090</v>
      </c>
      <c r="B278" s="34"/>
      <c r="C278" s="18">
        <v>412600</v>
      </c>
      <c r="D278" s="48" t="s">
        <v>153</v>
      </c>
      <c r="E278" s="229">
        <v>600</v>
      </c>
      <c r="F278" s="229">
        <f t="shared" si="35"/>
        <v>0</v>
      </c>
      <c r="G278" s="229">
        <v>600</v>
      </c>
      <c r="H278" s="241">
        <f t="shared" si="34"/>
        <v>100</v>
      </c>
      <c r="I278" s="65">
        <f t="shared" si="33"/>
        <v>0.004343734163469196</v>
      </c>
      <c r="J278" s="229">
        <v>600</v>
      </c>
      <c r="K278" s="229">
        <v>600</v>
      </c>
    </row>
    <row r="279" spans="1:11" ht="12.75" customHeight="1">
      <c r="A279" s="146" t="s">
        <v>34</v>
      </c>
      <c r="B279" s="78"/>
      <c r="C279" s="79">
        <v>412700</v>
      </c>
      <c r="D279" s="79" t="s">
        <v>154</v>
      </c>
      <c r="E279" s="229">
        <v>3000</v>
      </c>
      <c r="F279" s="229">
        <f t="shared" si="35"/>
        <v>1500</v>
      </c>
      <c r="G279" s="229">
        <v>4500</v>
      </c>
      <c r="H279" s="241">
        <f t="shared" si="34"/>
        <v>150</v>
      </c>
      <c r="I279" s="65">
        <f t="shared" si="33"/>
        <v>0.03257800622601897</v>
      </c>
      <c r="J279" s="229">
        <v>4500</v>
      </c>
      <c r="K279" s="229">
        <v>4500</v>
      </c>
    </row>
    <row r="280" spans="1:11" ht="12.75" customHeight="1">
      <c r="A280" s="146" t="s">
        <v>34</v>
      </c>
      <c r="B280" s="78"/>
      <c r="C280" s="79">
        <v>412900</v>
      </c>
      <c r="D280" s="79" t="s">
        <v>156</v>
      </c>
      <c r="E280" s="229">
        <v>6000</v>
      </c>
      <c r="F280" s="229">
        <f t="shared" si="35"/>
        <v>5000</v>
      </c>
      <c r="G280" s="229">
        <v>11000</v>
      </c>
      <c r="H280" s="241">
        <f t="shared" si="34"/>
        <v>183.33333333333331</v>
      </c>
      <c r="I280" s="65">
        <f t="shared" si="33"/>
        <v>0.07963512633026859</v>
      </c>
      <c r="J280" s="229">
        <v>11000</v>
      </c>
      <c r="K280" s="229">
        <v>11000</v>
      </c>
    </row>
    <row r="281" spans="1:11" ht="14.25" customHeight="1">
      <c r="A281" s="146"/>
      <c r="B281" s="24"/>
      <c r="C281" s="18"/>
      <c r="D281" s="36" t="s">
        <v>52</v>
      </c>
      <c r="E281" s="64">
        <f>SUM(E282:E291)</f>
        <v>2234000</v>
      </c>
      <c r="F281" s="64">
        <f>SUM(F282:F291)</f>
        <v>38000</v>
      </c>
      <c r="G281" s="64">
        <f>SUM(G282:G291)</f>
        <v>2272000</v>
      </c>
      <c r="H281" s="214">
        <f t="shared" si="34"/>
        <v>101.7009847806625</v>
      </c>
      <c r="I281" s="147">
        <f t="shared" si="33"/>
        <v>16.448273365670023</v>
      </c>
      <c r="J281" s="64">
        <f>SUM(J282:J291)</f>
        <v>2272000</v>
      </c>
      <c r="K281" s="64">
        <f>SUM(K282:K291)</f>
        <v>2237500</v>
      </c>
    </row>
    <row r="282" spans="1:11" ht="12.75">
      <c r="A282" s="146">
        <v>1090</v>
      </c>
      <c r="B282" s="34"/>
      <c r="C282" s="18">
        <v>416100</v>
      </c>
      <c r="D282" s="31" t="s">
        <v>54</v>
      </c>
      <c r="E282" s="241">
        <v>150000</v>
      </c>
      <c r="F282" s="241">
        <f>G282-E282</f>
        <v>-12000</v>
      </c>
      <c r="G282" s="241">
        <v>138000</v>
      </c>
      <c r="H282" s="241">
        <f t="shared" si="34"/>
        <v>92</v>
      </c>
      <c r="I282" s="65">
        <f t="shared" si="33"/>
        <v>0.999058857597915</v>
      </c>
      <c r="J282" s="241">
        <v>138000</v>
      </c>
      <c r="K282" s="241">
        <v>138000</v>
      </c>
    </row>
    <row r="283" spans="1:11" ht="12.75" customHeight="1">
      <c r="A283" s="146" t="s">
        <v>34</v>
      </c>
      <c r="B283" s="34"/>
      <c r="C283" s="18">
        <v>416100</v>
      </c>
      <c r="D283" s="31" t="s">
        <v>225</v>
      </c>
      <c r="E283" s="241">
        <v>150000</v>
      </c>
      <c r="F283" s="241">
        <f aca="true" t="shared" si="36" ref="F283:F291">G283-E283</f>
        <v>-12000</v>
      </c>
      <c r="G283" s="241">
        <v>138000</v>
      </c>
      <c r="H283" s="241">
        <f t="shared" si="34"/>
        <v>92</v>
      </c>
      <c r="I283" s="65">
        <f t="shared" si="33"/>
        <v>0.999058857597915</v>
      </c>
      <c r="J283" s="241">
        <v>138000</v>
      </c>
      <c r="K283" s="241">
        <v>138000</v>
      </c>
    </row>
    <row r="284" spans="1:11" ht="12.75" customHeight="1">
      <c r="A284" s="146">
        <v>1090</v>
      </c>
      <c r="B284" s="34"/>
      <c r="C284" s="18">
        <v>416100</v>
      </c>
      <c r="D284" s="31" t="s">
        <v>114</v>
      </c>
      <c r="E284" s="241">
        <v>625000</v>
      </c>
      <c r="F284" s="241">
        <f t="shared" si="36"/>
        <v>40000</v>
      </c>
      <c r="G284" s="241">
        <v>665000</v>
      </c>
      <c r="H284" s="241">
        <f t="shared" si="34"/>
        <v>106.4</v>
      </c>
      <c r="I284" s="65">
        <f t="shared" si="33"/>
        <v>4.814305364511692</v>
      </c>
      <c r="J284" s="241">
        <v>665000</v>
      </c>
      <c r="K284" s="241">
        <v>650500</v>
      </c>
    </row>
    <row r="285" spans="1:11" ht="20.25" customHeight="1">
      <c r="A285" s="146" t="s">
        <v>34</v>
      </c>
      <c r="B285" s="34"/>
      <c r="C285" s="18">
        <v>416100</v>
      </c>
      <c r="D285" s="31" t="s">
        <v>226</v>
      </c>
      <c r="E285" s="241">
        <v>625000</v>
      </c>
      <c r="F285" s="241">
        <f t="shared" si="36"/>
        <v>40000</v>
      </c>
      <c r="G285" s="241">
        <v>665000</v>
      </c>
      <c r="H285" s="241">
        <f t="shared" si="34"/>
        <v>106.4</v>
      </c>
      <c r="I285" s="65">
        <f t="shared" si="33"/>
        <v>4.814305364511692</v>
      </c>
      <c r="J285" s="241">
        <v>665000</v>
      </c>
      <c r="K285" s="241">
        <v>645000</v>
      </c>
    </row>
    <row r="286" spans="1:11" ht="12.75" customHeight="1">
      <c r="A286" s="146">
        <v>1090</v>
      </c>
      <c r="B286" s="34"/>
      <c r="C286" s="18">
        <v>416100</v>
      </c>
      <c r="D286" s="34" t="s">
        <v>55</v>
      </c>
      <c r="E286" s="241">
        <v>130000</v>
      </c>
      <c r="F286" s="241">
        <f t="shared" si="36"/>
        <v>-22500</v>
      </c>
      <c r="G286" s="241">
        <v>107500</v>
      </c>
      <c r="H286" s="241">
        <f t="shared" si="34"/>
        <v>82.6923076923077</v>
      </c>
      <c r="I286" s="65">
        <f t="shared" si="33"/>
        <v>0.7782523709548975</v>
      </c>
      <c r="J286" s="241">
        <v>107500</v>
      </c>
      <c r="K286" s="241">
        <v>107500</v>
      </c>
    </row>
    <row r="287" spans="1:11" ht="12.75" customHeight="1">
      <c r="A287" s="146">
        <v>1090</v>
      </c>
      <c r="B287" s="34"/>
      <c r="C287" s="39">
        <v>416100</v>
      </c>
      <c r="D287" s="31" t="s">
        <v>56</v>
      </c>
      <c r="E287" s="241">
        <v>30000</v>
      </c>
      <c r="F287" s="241">
        <f t="shared" si="36"/>
        <v>0</v>
      </c>
      <c r="G287" s="241">
        <v>30000</v>
      </c>
      <c r="H287" s="241">
        <f t="shared" si="34"/>
        <v>100</v>
      </c>
      <c r="I287" s="65">
        <f t="shared" si="33"/>
        <v>0.21718670817345978</v>
      </c>
      <c r="J287" s="241">
        <v>30000</v>
      </c>
      <c r="K287" s="241">
        <v>30000</v>
      </c>
    </row>
    <row r="288" spans="1:11" ht="12.75" customHeight="1">
      <c r="A288" s="146">
        <v>1090</v>
      </c>
      <c r="B288" s="34"/>
      <c r="C288" s="39">
        <v>416100</v>
      </c>
      <c r="D288" s="31" t="s">
        <v>57</v>
      </c>
      <c r="E288" s="241">
        <v>80000</v>
      </c>
      <c r="F288" s="241">
        <f t="shared" si="36"/>
        <v>0</v>
      </c>
      <c r="G288" s="241">
        <v>80000</v>
      </c>
      <c r="H288" s="241">
        <f t="shared" si="34"/>
        <v>100</v>
      </c>
      <c r="I288" s="65">
        <f t="shared" si="33"/>
        <v>0.579164555129226</v>
      </c>
      <c r="J288" s="241">
        <v>80000</v>
      </c>
      <c r="K288" s="241">
        <v>80000</v>
      </c>
    </row>
    <row r="289" spans="1:11" ht="12.75" customHeight="1">
      <c r="A289" s="146">
        <v>1090</v>
      </c>
      <c r="B289" s="34"/>
      <c r="C289" s="18">
        <v>416300</v>
      </c>
      <c r="D289" s="31" t="s">
        <v>113</v>
      </c>
      <c r="E289" s="241">
        <v>290000</v>
      </c>
      <c r="F289" s="241">
        <f t="shared" si="36"/>
        <v>22500</v>
      </c>
      <c r="G289" s="241">
        <v>312500</v>
      </c>
      <c r="H289" s="241">
        <f t="shared" si="34"/>
        <v>107.75862068965519</v>
      </c>
      <c r="I289" s="65">
        <f t="shared" si="33"/>
        <v>2.2623615434735393</v>
      </c>
      <c r="J289" s="241">
        <v>312500</v>
      </c>
      <c r="K289" s="241">
        <v>312500</v>
      </c>
    </row>
    <row r="290" spans="1:11" ht="12.75" customHeight="1">
      <c r="A290" s="146" t="s">
        <v>34</v>
      </c>
      <c r="B290" s="24"/>
      <c r="C290" s="39">
        <v>487400</v>
      </c>
      <c r="D290" s="35" t="s">
        <v>53</v>
      </c>
      <c r="E290" s="241">
        <v>89000</v>
      </c>
      <c r="F290" s="241">
        <f t="shared" si="36"/>
        <v>-10000</v>
      </c>
      <c r="G290" s="241">
        <v>79000</v>
      </c>
      <c r="H290" s="241">
        <f t="shared" si="34"/>
        <v>88.76404494382022</v>
      </c>
      <c r="I290" s="65">
        <f t="shared" si="33"/>
        <v>0.5719249981901108</v>
      </c>
      <c r="J290" s="241">
        <v>79000</v>
      </c>
      <c r="K290" s="241">
        <v>79000</v>
      </c>
    </row>
    <row r="291" spans="1:11" ht="12.75" customHeight="1">
      <c r="A291" s="146" t="s">
        <v>34</v>
      </c>
      <c r="B291" s="34"/>
      <c r="C291" s="39">
        <v>487400</v>
      </c>
      <c r="D291" s="35" t="s">
        <v>227</v>
      </c>
      <c r="E291" s="241">
        <v>65000</v>
      </c>
      <c r="F291" s="241">
        <f t="shared" si="36"/>
        <v>-8000</v>
      </c>
      <c r="G291" s="241">
        <v>57000</v>
      </c>
      <c r="H291" s="241">
        <f t="shared" si="34"/>
        <v>87.6923076923077</v>
      </c>
      <c r="I291" s="65">
        <f t="shared" si="33"/>
        <v>0.41265474552957354</v>
      </c>
      <c r="J291" s="241">
        <v>57000</v>
      </c>
      <c r="K291" s="241">
        <v>57000</v>
      </c>
    </row>
    <row r="292" spans="1:11" ht="14.25" customHeight="1">
      <c r="A292" s="146"/>
      <c r="B292" s="24">
        <v>511000</v>
      </c>
      <c r="C292" s="18"/>
      <c r="D292" s="33" t="s">
        <v>165</v>
      </c>
      <c r="E292" s="214">
        <f>SUM(E293:E293)</f>
        <v>2000</v>
      </c>
      <c r="F292" s="214">
        <f>SUM(F293:F293)</f>
        <v>-1000</v>
      </c>
      <c r="G292" s="214">
        <f>SUM(G293:G293)</f>
        <v>1000</v>
      </c>
      <c r="H292" s="214">
        <f t="shared" si="34"/>
        <v>50</v>
      </c>
      <c r="I292" s="147">
        <f t="shared" si="33"/>
        <v>0.007239556939115326</v>
      </c>
      <c r="J292" s="214">
        <f>SUM(J293:J293)</f>
        <v>1000</v>
      </c>
      <c r="K292" s="214">
        <f>SUM(K293:K293)</f>
        <v>1000</v>
      </c>
    </row>
    <row r="293" spans="1:11" ht="12.75" customHeight="1">
      <c r="A293" s="146">
        <v>1090</v>
      </c>
      <c r="B293" s="34"/>
      <c r="C293" s="18">
        <v>511300</v>
      </c>
      <c r="D293" s="34" t="s">
        <v>2</v>
      </c>
      <c r="E293" s="229">
        <v>2000</v>
      </c>
      <c r="F293" s="229">
        <f>G293-E293</f>
        <v>-1000</v>
      </c>
      <c r="G293" s="229">
        <v>1000</v>
      </c>
      <c r="H293" s="241">
        <f t="shared" si="34"/>
        <v>50</v>
      </c>
      <c r="I293" s="65">
        <f t="shared" si="33"/>
        <v>0.007239556939115326</v>
      </c>
      <c r="J293" s="229">
        <v>1000</v>
      </c>
      <c r="K293" s="229">
        <v>1000</v>
      </c>
    </row>
    <row r="294" spans="1:11" ht="23.25" customHeight="1">
      <c r="A294" s="239"/>
      <c r="B294" s="24">
        <v>638000</v>
      </c>
      <c r="C294" s="18"/>
      <c r="D294" s="33" t="s">
        <v>422</v>
      </c>
      <c r="E294" s="64">
        <f>SUM(E295)</f>
        <v>3400</v>
      </c>
      <c r="F294" s="64">
        <f>SUM(F295)</f>
        <v>-3400</v>
      </c>
      <c r="G294" s="64">
        <f>SUM(G295)</f>
        <v>0</v>
      </c>
      <c r="H294" s="214">
        <f t="shared" si="34"/>
        <v>0</v>
      </c>
      <c r="I294" s="147">
        <f t="shared" si="33"/>
        <v>0</v>
      </c>
      <c r="J294" s="64">
        <f>SUM(J295)</f>
        <v>0</v>
      </c>
      <c r="K294" s="64">
        <f>SUM(K295)</f>
        <v>3400</v>
      </c>
    </row>
    <row r="295" spans="1:11" ht="36" customHeight="1">
      <c r="A295" s="146"/>
      <c r="B295" s="34"/>
      <c r="C295" s="18">
        <v>638100</v>
      </c>
      <c r="D295" s="31" t="s">
        <v>423</v>
      </c>
      <c r="E295" s="229">
        <v>3400</v>
      </c>
      <c r="F295" s="229">
        <f>G295-E295</f>
        <v>-3400</v>
      </c>
      <c r="G295" s="229">
        <v>0</v>
      </c>
      <c r="H295" s="241">
        <f t="shared" si="34"/>
        <v>0</v>
      </c>
      <c r="I295" s="65">
        <f t="shared" si="33"/>
        <v>0</v>
      </c>
      <c r="J295" s="229">
        <v>0</v>
      </c>
      <c r="K295" s="229">
        <v>3400</v>
      </c>
    </row>
    <row r="296" spans="1:11" ht="30" customHeight="1">
      <c r="A296" s="513"/>
      <c r="B296" s="514"/>
      <c r="C296" s="505" t="s">
        <v>93</v>
      </c>
      <c r="D296" s="506"/>
      <c r="E296" s="72">
        <f>E268+E273+E281+E292+E294</f>
        <v>2609300</v>
      </c>
      <c r="F296" s="72">
        <f>F268+F273+F281+F292+F294</f>
        <v>31100</v>
      </c>
      <c r="G296" s="72">
        <f>G268+G273+G281+G292+G294</f>
        <v>2640400</v>
      </c>
      <c r="H296" s="380">
        <f t="shared" si="34"/>
        <v>101.191890545357</v>
      </c>
      <c r="I296" s="148">
        <f t="shared" si="33"/>
        <v>19.115326142040107</v>
      </c>
      <c r="J296" s="72">
        <f>J268+J273+J281+J292+J294</f>
        <v>2640400</v>
      </c>
      <c r="K296" s="72">
        <f>K268+K273+K281+K292+K294</f>
        <v>2609300</v>
      </c>
    </row>
    <row r="297" spans="1:11" ht="9.75" customHeight="1">
      <c r="A297" s="515"/>
      <c r="B297" s="516"/>
      <c r="C297" s="503" t="s">
        <v>377</v>
      </c>
      <c r="D297" s="504"/>
      <c r="E297" s="198"/>
      <c r="F297" s="198"/>
      <c r="G297" s="198"/>
      <c r="H297" s="198"/>
      <c r="I297" s="282"/>
      <c r="K297" s="198"/>
    </row>
    <row r="298" spans="1:11" ht="9.75" customHeight="1">
      <c r="A298" s="517"/>
      <c r="B298" s="518"/>
      <c r="C298" s="504"/>
      <c r="D298" s="504"/>
      <c r="E298" s="199"/>
      <c r="F298" s="199"/>
      <c r="G298" s="199"/>
      <c r="H298" s="199"/>
      <c r="I298" s="283"/>
      <c r="J298" s="429" t="s">
        <v>526</v>
      </c>
      <c r="K298" s="199">
        <f>G296-K296</f>
        <v>31100</v>
      </c>
    </row>
    <row r="299" spans="1:11" ht="19.5" customHeight="1">
      <c r="A299" s="519"/>
      <c r="B299" s="520"/>
      <c r="C299" s="504"/>
      <c r="D299" s="504"/>
      <c r="E299" s="200"/>
      <c r="F299" s="200"/>
      <c r="G299" s="200"/>
      <c r="H299" s="200"/>
      <c r="I299" s="284"/>
      <c r="K299" s="200"/>
    </row>
    <row r="300" spans="1:11" ht="14.25" customHeight="1">
      <c r="A300" s="146"/>
      <c r="B300" s="24">
        <v>411000</v>
      </c>
      <c r="C300" s="26"/>
      <c r="D300" s="37" t="s">
        <v>425</v>
      </c>
      <c r="E300" s="214">
        <f>SUM(E301)</f>
        <v>15000</v>
      </c>
      <c r="F300" s="214">
        <f>SUM(F301)</f>
        <v>-5081.75</v>
      </c>
      <c r="G300" s="214">
        <f>SUM(G301)</f>
        <v>9918.25</v>
      </c>
      <c r="H300" s="214">
        <f>G300/E300*100</f>
        <v>66.12166666666667</v>
      </c>
      <c r="I300" s="147">
        <f aca="true" t="shared" si="37" ref="I300:I317">G300/$G$432*100</f>
        <v>0.07180373561138058</v>
      </c>
      <c r="J300" s="214">
        <f>SUM(J301)</f>
        <v>9918.25</v>
      </c>
      <c r="K300" s="214">
        <f>SUM(K301)</f>
        <v>9918.25</v>
      </c>
    </row>
    <row r="301" spans="1:11" ht="12.75">
      <c r="A301" s="146" t="s">
        <v>33</v>
      </c>
      <c r="B301" s="34"/>
      <c r="C301" s="18">
        <v>411200</v>
      </c>
      <c r="D301" s="30" t="s">
        <v>3</v>
      </c>
      <c r="E301" s="229">
        <v>15000</v>
      </c>
      <c r="F301" s="229">
        <f>G301-E301</f>
        <v>-5081.75</v>
      </c>
      <c r="G301" s="229">
        <v>9918.25</v>
      </c>
      <c r="H301" s="241">
        <f aca="true" t="shared" si="38" ref="H301:H317">G301/E301*100</f>
        <v>66.12166666666667</v>
      </c>
      <c r="I301" s="149">
        <f t="shared" si="37"/>
        <v>0.07180373561138058</v>
      </c>
      <c r="J301" s="229">
        <v>9918.25</v>
      </c>
      <c r="K301" s="229">
        <v>9918.25</v>
      </c>
    </row>
    <row r="302" spans="1:11" ht="14.25" customHeight="1">
      <c r="A302" s="146"/>
      <c r="B302" s="24">
        <v>412000</v>
      </c>
      <c r="C302" s="18"/>
      <c r="D302" s="37" t="s">
        <v>147</v>
      </c>
      <c r="E302" s="214">
        <f>SUM(E303:E310)</f>
        <v>56500</v>
      </c>
      <c r="F302" s="214">
        <f>SUM(F303:F310)</f>
        <v>3948.75</v>
      </c>
      <c r="G302" s="214">
        <f>SUM(G303:G310)</f>
        <v>60448.75</v>
      </c>
      <c r="H302" s="214">
        <f t="shared" si="38"/>
        <v>106.98893805309734</v>
      </c>
      <c r="I302" s="147">
        <f t="shared" si="37"/>
        <v>0.43762216752334754</v>
      </c>
      <c r="J302" s="214">
        <f>SUM(J303:J310)</f>
        <v>60448.75</v>
      </c>
      <c r="K302" s="214">
        <f>SUM(K303:K310)</f>
        <v>60448.75</v>
      </c>
    </row>
    <row r="303" spans="1:11" ht="24.75" customHeight="1">
      <c r="A303" s="146" t="s">
        <v>33</v>
      </c>
      <c r="B303" s="24"/>
      <c r="C303" s="18">
        <v>412200</v>
      </c>
      <c r="D303" s="31" t="s">
        <v>149</v>
      </c>
      <c r="E303" s="229">
        <v>35000</v>
      </c>
      <c r="F303" s="229">
        <f>G303-E303</f>
        <v>0</v>
      </c>
      <c r="G303" s="229">
        <v>35000</v>
      </c>
      <c r="H303" s="241">
        <f t="shared" si="38"/>
        <v>100</v>
      </c>
      <c r="I303" s="149">
        <f t="shared" si="37"/>
        <v>0.2533844928690364</v>
      </c>
      <c r="J303" s="229">
        <v>35000</v>
      </c>
      <c r="K303" s="229">
        <v>35000</v>
      </c>
    </row>
    <row r="304" spans="1:11" ht="12.75">
      <c r="A304" s="146" t="s">
        <v>33</v>
      </c>
      <c r="B304" s="24"/>
      <c r="C304" s="18">
        <v>412300</v>
      </c>
      <c r="D304" s="34" t="s">
        <v>150</v>
      </c>
      <c r="E304" s="229">
        <v>2500</v>
      </c>
      <c r="F304" s="229">
        <f aca="true" t="shared" si="39" ref="F304:F310">G304-E304</f>
        <v>0</v>
      </c>
      <c r="G304" s="229">
        <v>2500</v>
      </c>
      <c r="H304" s="241">
        <f t="shared" si="38"/>
        <v>100</v>
      </c>
      <c r="I304" s="149">
        <f t="shared" si="37"/>
        <v>0.018098892347788314</v>
      </c>
      <c r="J304" s="229">
        <v>2500</v>
      </c>
      <c r="K304" s="229">
        <v>2500</v>
      </c>
    </row>
    <row r="305" spans="1:11" ht="12.75">
      <c r="A305" s="146" t="s">
        <v>33</v>
      </c>
      <c r="B305" s="24"/>
      <c r="C305" s="18">
        <v>412400</v>
      </c>
      <c r="D305" s="31" t="s">
        <v>151</v>
      </c>
      <c r="E305" s="229">
        <v>5000</v>
      </c>
      <c r="F305" s="229">
        <f t="shared" si="39"/>
        <v>0</v>
      </c>
      <c r="G305" s="229">
        <v>5000</v>
      </c>
      <c r="H305" s="241">
        <f t="shared" si="38"/>
        <v>100</v>
      </c>
      <c r="I305" s="149">
        <f t="shared" si="37"/>
        <v>0.03619778469557663</v>
      </c>
      <c r="J305" s="229">
        <v>5000</v>
      </c>
      <c r="K305" s="229">
        <v>5000</v>
      </c>
    </row>
    <row r="306" spans="1:11" ht="12.75">
      <c r="A306" s="146" t="s">
        <v>33</v>
      </c>
      <c r="B306" s="24"/>
      <c r="C306" s="18">
        <v>412500</v>
      </c>
      <c r="D306" s="34" t="s">
        <v>152</v>
      </c>
      <c r="E306" s="229">
        <v>5000</v>
      </c>
      <c r="F306" s="229">
        <f t="shared" si="39"/>
        <v>3948.75</v>
      </c>
      <c r="G306" s="229">
        <v>8948.75</v>
      </c>
      <c r="H306" s="241">
        <f t="shared" si="38"/>
        <v>178.975</v>
      </c>
      <c r="I306" s="149">
        <f t="shared" si="37"/>
        <v>0.06478498515890826</v>
      </c>
      <c r="J306" s="229">
        <v>8948.75</v>
      </c>
      <c r="K306" s="229">
        <v>8948.75</v>
      </c>
    </row>
    <row r="307" spans="1:11" ht="12.75">
      <c r="A307" s="146" t="s">
        <v>33</v>
      </c>
      <c r="B307" s="24"/>
      <c r="C307" s="18">
        <v>412600</v>
      </c>
      <c r="D307" s="34" t="s">
        <v>153</v>
      </c>
      <c r="E307" s="229">
        <v>2000</v>
      </c>
      <c r="F307" s="229">
        <f t="shared" si="39"/>
        <v>0</v>
      </c>
      <c r="G307" s="229">
        <v>2000</v>
      </c>
      <c r="H307" s="241">
        <f t="shared" si="38"/>
        <v>100</v>
      </c>
      <c r="I307" s="149">
        <f t="shared" si="37"/>
        <v>0.014479113878230651</v>
      </c>
      <c r="J307" s="229">
        <v>2000</v>
      </c>
      <c r="K307" s="229">
        <v>2000</v>
      </c>
    </row>
    <row r="308" spans="1:11" ht="24" hidden="1">
      <c r="A308" s="146" t="s">
        <v>33</v>
      </c>
      <c r="B308" s="24"/>
      <c r="C308" s="18">
        <v>412600</v>
      </c>
      <c r="D308" s="31" t="s">
        <v>385</v>
      </c>
      <c r="E308" s="229">
        <v>0</v>
      </c>
      <c r="F308" s="229">
        <f t="shared" si="39"/>
        <v>0</v>
      </c>
      <c r="G308" s="229">
        <v>0</v>
      </c>
      <c r="H308" s="241" t="e">
        <f t="shared" si="38"/>
        <v>#DIV/0!</v>
      </c>
      <c r="I308" s="149">
        <f t="shared" si="37"/>
        <v>0</v>
      </c>
      <c r="J308" s="229">
        <v>0</v>
      </c>
      <c r="K308" s="229">
        <v>0</v>
      </c>
    </row>
    <row r="309" spans="1:11" ht="12.75">
      <c r="A309" s="146" t="s">
        <v>33</v>
      </c>
      <c r="B309" s="24"/>
      <c r="C309" s="79">
        <v>412700</v>
      </c>
      <c r="D309" s="79" t="s">
        <v>154</v>
      </c>
      <c r="E309" s="229">
        <v>5000</v>
      </c>
      <c r="F309" s="229">
        <f t="shared" si="39"/>
        <v>0</v>
      </c>
      <c r="G309" s="229">
        <v>5000</v>
      </c>
      <c r="H309" s="241">
        <f t="shared" si="38"/>
        <v>100</v>
      </c>
      <c r="I309" s="149">
        <f t="shared" si="37"/>
        <v>0.03619778469557663</v>
      </c>
      <c r="J309" s="229">
        <v>5000</v>
      </c>
      <c r="K309" s="229">
        <v>5000</v>
      </c>
    </row>
    <row r="310" spans="1:11" ht="12" customHeight="1">
      <c r="A310" s="146" t="s">
        <v>33</v>
      </c>
      <c r="B310" s="24"/>
      <c r="C310" s="79">
        <v>412900</v>
      </c>
      <c r="D310" s="79" t="s">
        <v>156</v>
      </c>
      <c r="E310" s="229">
        <v>2000</v>
      </c>
      <c r="F310" s="229">
        <f t="shared" si="39"/>
        <v>0</v>
      </c>
      <c r="G310" s="229">
        <v>2000</v>
      </c>
      <c r="H310" s="241">
        <f t="shared" si="38"/>
        <v>100</v>
      </c>
      <c r="I310" s="149">
        <f t="shared" si="37"/>
        <v>0.014479113878230651</v>
      </c>
      <c r="J310" s="229">
        <v>2000</v>
      </c>
      <c r="K310" s="229">
        <v>2000</v>
      </c>
    </row>
    <row r="311" spans="1:11" ht="12.75" hidden="1">
      <c r="A311" s="146"/>
      <c r="B311" s="24">
        <v>419000</v>
      </c>
      <c r="C311" s="38"/>
      <c r="D311" s="33" t="s">
        <v>406</v>
      </c>
      <c r="E311" s="80">
        <f>SUM(E312)</f>
        <v>0</v>
      </c>
      <c r="F311" s="80">
        <f>SUM(F312)</f>
        <v>0</v>
      </c>
      <c r="G311" s="80">
        <f>SUM(G312)</f>
        <v>0</v>
      </c>
      <c r="H311" s="214" t="e">
        <f t="shared" si="38"/>
        <v>#DIV/0!</v>
      </c>
      <c r="I311" s="147">
        <f t="shared" si="37"/>
        <v>0</v>
      </c>
      <c r="J311" s="80">
        <f>SUM(J312)</f>
        <v>0</v>
      </c>
      <c r="K311" s="80">
        <f>SUM(K312)</f>
        <v>0</v>
      </c>
    </row>
    <row r="312" spans="1:11" ht="24.75" customHeight="1" hidden="1">
      <c r="A312" s="146" t="s">
        <v>33</v>
      </c>
      <c r="B312" s="24"/>
      <c r="C312" s="38">
        <v>419100</v>
      </c>
      <c r="D312" s="35" t="s">
        <v>104</v>
      </c>
      <c r="E312" s="229">
        <v>0</v>
      </c>
      <c r="F312" s="229">
        <f>G312-E312</f>
        <v>0</v>
      </c>
      <c r="G312" s="229">
        <v>0</v>
      </c>
      <c r="H312" s="241" t="e">
        <f t="shared" si="38"/>
        <v>#DIV/0!</v>
      </c>
      <c r="I312" s="149">
        <f t="shared" si="37"/>
        <v>0</v>
      </c>
      <c r="J312" s="229">
        <v>0</v>
      </c>
      <c r="K312" s="229">
        <v>0</v>
      </c>
    </row>
    <row r="313" spans="1:11" ht="14.25" customHeight="1">
      <c r="A313" s="146"/>
      <c r="B313" s="24">
        <v>511000</v>
      </c>
      <c r="C313" s="34"/>
      <c r="D313" s="33" t="s">
        <v>165</v>
      </c>
      <c r="E313" s="296">
        <f>SUM(E314:E314)</f>
        <v>3000</v>
      </c>
      <c r="F313" s="296">
        <f>SUM(F314:F314)</f>
        <v>0</v>
      </c>
      <c r="G313" s="296">
        <f>SUM(G314:G314)</f>
        <v>3000</v>
      </c>
      <c r="H313" s="214">
        <f t="shared" si="38"/>
        <v>100</v>
      </c>
      <c r="I313" s="147">
        <f t="shared" si="37"/>
        <v>0.021718670817345978</v>
      </c>
      <c r="J313" s="296">
        <f>SUM(J314:J314)</f>
        <v>3000</v>
      </c>
      <c r="K313" s="296">
        <f>SUM(K314:K314)</f>
        <v>3000</v>
      </c>
    </row>
    <row r="314" spans="1:11" ht="12.75">
      <c r="A314" s="146" t="s">
        <v>33</v>
      </c>
      <c r="B314" s="34"/>
      <c r="C314" s="34">
        <v>511300</v>
      </c>
      <c r="D314" s="34" t="s">
        <v>2</v>
      </c>
      <c r="E314" s="229">
        <v>3000</v>
      </c>
      <c r="F314" s="229">
        <f>G314-E314</f>
        <v>0</v>
      </c>
      <c r="G314" s="229">
        <v>3000</v>
      </c>
      <c r="H314" s="241">
        <f t="shared" si="38"/>
        <v>100</v>
      </c>
      <c r="I314" s="149">
        <f t="shared" si="37"/>
        <v>0.021718670817345978</v>
      </c>
      <c r="J314" s="229">
        <v>3000</v>
      </c>
      <c r="K314" s="229">
        <v>3000</v>
      </c>
    </row>
    <row r="315" spans="1:11" ht="24">
      <c r="A315" s="239"/>
      <c r="B315" s="24">
        <v>516000</v>
      </c>
      <c r="C315" s="34"/>
      <c r="D315" s="33" t="s">
        <v>382</v>
      </c>
      <c r="E315" s="296">
        <f>SUM(E316)</f>
        <v>1000</v>
      </c>
      <c r="F315" s="296">
        <f>SUM(F316)</f>
        <v>0</v>
      </c>
      <c r="G315" s="296">
        <f>SUM(G316)</f>
        <v>1000</v>
      </c>
      <c r="H315" s="214">
        <f t="shared" si="38"/>
        <v>100</v>
      </c>
      <c r="I315" s="147">
        <f t="shared" si="37"/>
        <v>0.007239556939115326</v>
      </c>
      <c r="J315" s="296">
        <f>SUM(J316)</f>
        <v>1000</v>
      </c>
      <c r="K315" s="296">
        <f>SUM(K316)</f>
        <v>1000</v>
      </c>
    </row>
    <row r="316" spans="1:11" ht="24" customHeight="1">
      <c r="A316" s="146" t="s">
        <v>33</v>
      </c>
      <c r="B316" s="34"/>
      <c r="C316" s="34">
        <v>516100</v>
      </c>
      <c r="D316" s="31" t="s">
        <v>360</v>
      </c>
      <c r="E316" s="229">
        <v>1000</v>
      </c>
      <c r="F316" s="229">
        <f>G316-E316</f>
        <v>0</v>
      </c>
      <c r="G316" s="229">
        <v>1000</v>
      </c>
      <c r="H316" s="241">
        <f t="shared" si="38"/>
        <v>100</v>
      </c>
      <c r="I316" s="149">
        <f t="shared" si="37"/>
        <v>0.007239556939115326</v>
      </c>
      <c r="J316" s="229">
        <v>1000</v>
      </c>
      <c r="K316" s="229">
        <v>1000</v>
      </c>
    </row>
    <row r="317" spans="1:11" ht="24.75" customHeight="1">
      <c r="A317" s="530"/>
      <c r="B317" s="531"/>
      <c r="C317" s="505" t="s">
        <v>94</v>
      </c>
      <c r="D317" s="505"/>
      <c r="E317" s="72">
        <f>E300+E302+E311+E313+E315</f>
        <v>75500</v>
      </c>
      <c r="F317" s="72">
        <f>F300+F302+F311+F313+F315</f>
        <v>-1133</v>
      </c>
      <c r="G317" s="72">
        <f>G300+G302+G311+G313+G315</f>
        <v>74367</v>
      </c>
      <c r="H317" s="380">
        <f t="shared" si="38"/>
        <v>98.49933774834437</v>
      </c>
      <c r="I317" s="148">
        <f t="shared" si="37"/>
        <v>0.5383841308911894</v>
      </c>
      <c r="J317" s="72">
        <f>J300+J302+J311+J313+J315</f>
        <v>74367</v>
      </c>
      <c r="K317" s="72">
        <f>K300+K302+K311+K313+K315</f>
        <v>74367</v>
      </c>
    </row>
    <row r="318" spans="1:11" ht="9.75" customHeight="1">
      <c r="A318" s="507"/>
      <c r="B318" s="508"/>
      <c r="C318" s="503" t="s">
        <v>284</v>
      </c>
      <c r="D318" s="504"/>
      <c r="E318" s="201"/>
      <c r="F318" s="201"/>
      <c r="G318" s="201"/>
      <c r="H318" s="201"/>
      <c r="I318" s="285"/>
      <c r="K318" s="201"/>
    </row>
    <row r="319" spans="1:11" ht="30" customHeight="1">
      <c r="A319" s="511"/>
      <c r="B319" s="512"/>
      <c r="C319" s="504"/>
      <c r="D319" s="504"/>
      <c r="E319" s="203"/>
      <c r="F319" s="203"/>
      <c r="G319" s="203"/>
      <c r="H319" s="203"/>
      <c r="I319" s="287"/>
      <c r="J319" s="429" t="s">
        <v>526</v>
      </c>
      <c r="K319" s="203">
        <f>G317-K317</f>
        <v>0</v>
      </c>
    </row>
    <row r="320" spans="1:11" ht="14.25" customHeight="1">
      <c r="A320" s="29"/>
      <c r="B320" s="24">
        <v>411000</v>
      </c>
      <c r="C320" s="26"/>
      <c r="D320" s="37" t="s">
        <v>425</v>
      </c>
      <c r="E320" s="214">
        <f>SUM(E321)</f>
        <v>38000</v>
      </c>
      <c r="F320" s="214">
        <f>SUM(F321)</f>
        <v>-13950</v>
      </c>
      <c r="G320" s="214">
        <f>SUM(G321)</f>
        <v>24050</v>
      </c>
      <c r="H320" s="214">
        <f>G320/E320*100</f>
        <v>63.28947368421053</v>
      </c>
      <c r="I320" s="147">
        <f aca="true" t="shared" si="40" ref="I320:I336">G320/$G$432*100</f>
        <v>0.1741113443857236</v>
      </c>
      <c r="J320" s="214">
        <f>SUM(J321)</f>
        <v>24050</v>
      </c>
      <c r="K320" s="214">
        <f>SUM(K321)</f>
        <v>26550</v>
      </c>
    </row>
    <row r="321" spans="1:11" ht="14.25" customHeight="1">
      <c r="A321" s="146" t="s">
        <v>58</v>
      </c>
      <c r="B321" s="34"/>
      <c r="C321" s="18">
        <v>411200</v>
      </c>
      <c r="D321" s="30" t="s">
        <v>3</v>
      </c>
      <c r="E321" s="229">
        <v>38000</v>
      </c>
      <c r="F321" s="229">
        <f>G321-E321</f>
        <v>-13950</v>
      </c>
      <c r="G321" s="229">
        <v>24050</v>
      </c>
      <c r="H321" s="241">
        <f aca="true" t="shared" si="41" ref="H321:H336">G321/E321*100</f>
        <v>63.28947368421053</v>
      </c>
      <c r="I321" s="149">
        <f t="shared" si="40"/>
        <v>0.1741113443857236</v>
      </c>
      <c r="J321" s="229">
        <v>24050</v>
      </c>
      <c r="K321" s="229">
        <v>26550</v>
      </c>
    </row>
    <row r="322" spans="1:11" ht="14.25" customHeight="1">
      <c r="A322" s="29"/>
      <c r="B322" s="24">
        <v>412000</v>
      </c>
      <c r="C322" s="18"/>
      <c r="D322" s="37" t="s">
        <v>147</v>
      </c>
      <c r="E322" s="214">
        <f>SUM(E323:E331)</f>
        <v>54500</v>
      </c>
      <c r="F322" s="214">
        <f>SUM(F323:F331)</f>
        <v>2375</v>
      </c>
      <c r="G322" s="214">
        <f>SUM(G323:G331)</f>
        <v>56875</v>
      </c>
      <c r="H322" s="214">
        <f t="shared" si="41"/>
        <v>104.35779816513761</v>
      </c>
      <c r="I322" s="147">
        <f t="shared" si="40"/>
        <v>0.4117498009121842</v>
      </c>
      <c r="J322" s="214">
        <f>SUM(J323:J331)</f>
        <v>56875</v>
      </c>
      <c r="K322" s="214">
        <f>SUM(K323:K331)</f>
        <v>56875</v>
      </c>
    </row>
    <row r="323" spans="1:11" ht="24">
      <c r="A323" s="94" t="s">
        <v>58</v>
      </c>
      <c r="B323" s="24"/>
      <c r="C323" s="18">
        <v>412200</v>
      </c>
      <c r="D323" s="31" t="s">
        <v>149</v>
      </c>
      <c r="E323" s="229">
        <v>18500</v>
      </c>
      <c r="F323" s="229">
        <f>G323-E323</f>
        <v>3000</v>
      </c>
      <c r="G323" s="229">
        <v>21500</v>
      </c>
      <c r="H323" s="241">
        <f t="shared" si="41"/>
        <v>116.21621621621621</v>
      </c>
      <c r="I323" s="149">
        <f t="shared" si="40"/>
        <v>0.15565047419097952</v>
      </c>
      <c r="J323" s="229">
        <v>21500</v>
      </c>
      <c r="K323" s="229">
        <v>21500</v>
      </c>
    </row>
    <row r="324" spans="1:11" ht="36">
      <c r="A324" s="94" t="s">
        <v>58</v>
      </c>
      <c r="B324" s="24"/>
      <c r="C324" s="18">
        <v>412200</v>
      </c>
      <c r="D324" s="31" t="s">
        <v>469</v>
      </c>
      <c r="E324" s="229">
        <v>0</v>
      </c>
      <c r="F324" s="229">
        <f aca="true" t="shared" si="42" ref="F324:F331">G324-E324</f>
        <v>375</v>
      </c>
      <c r="G324" s="229">
        <v>375</v>
      </c>
      <c r="H324" s="241" t="e">
        <f t="shared" si="41"/>
        <v>#DIV/0!</v>
      </c>
      <c r="I324" s="149">
        <f t="shared" si="40"/>
        <v>0.0027148338521682473</v>
      </c>
      <c r="J324" s="229">
        <v>375</v>
      </c>
      <c r="K324" s="229">
        <v>375</v>
      </c>
    </row>
    <row r="325" spans="1:11" ht="12.75">
      <c r="A325" s="94" t="s">
        <v>58</v>
      </c>
      <c r="B325" s="24"/>
      <c r="C325" s="18">
        <v>412300</v>
      </c>
      <c r="D325" s="34" t="s">
        <v>150</v>
      </c>
      <c r="E325" s="229">
        <v>3000</v>
      </c>
      <c r="F325" s="229">
        <f t="shared" si="42"/>
        <v>0</v>
      </c>
      <c r="G325" s="229">
        <v>3000</v>
      </c>
      <c r="H325" s="241">
        <f t="shared" si="41"/>
        <v>100</v>
      </c>
      <c r="I325" s="149">
        <f t="shared" si="40"/>
        <v>0.021718670817345978</v>
      </c>
      <c r="J325" s="229">
        <v>3000</v>
      </c>
      <c r="K325" s="229">
        <v>3000</v>
      </c>
    </row>
    <row r="326" spans="1:11" ht="12.75">
      <c r="A326" s="94" t="s">
        <v>58</v>
      </c>
      <c r="B326" s="24"/>
      <c r="C326" s="18">
        <v>412400</v>
      </c>
      <c r="D326" s="31" t="s">
        <v>151</v>
      </c>
      <c r="E326" s="229">
        <v>12000</v>
      </c>
      <c r="F326" s="229">
        <f t="shared" si="42"/>
        <v>0</v>
      </c>
      <c r="G326" s="229">
        <v>12000</v>
      </c>
      <c r="H326" s="241">
        <f t="shared" si="41"/>
        <v>100</v>
      </c>
      <c r="I326" s="149">
        <f t="shared" si="40"/>
        <v>0.08687468326938391</v>
      </c>
      <c r="J326" s="229">
        <v>12000</v>
      </c>
      <c r="K326" s="229">
        <v>12000</v>
      </c>
    </row>
    <row r="327" spans="1:11" ht="12.75">
      <c r="A327" s="94" t="s">
        <v>58</v>
      </c>
      <c r="B327" s="24"/>
      <c r="C327" s="18">
        <v>412500</v>
      </c>
      <c r="D327" s="34" t="s">
        <v>152</v>
      </c>
      <c r="E327" s="229">
        <v>5000</v>
      </c>
      <c r="F327" s="229">
        <f t="shared" si="42"/>
        <v>0</v>
      </c>
      <c r="G327" s="229">
        <v>5000</v>
      </c>
      <c r="H327" s="241">
        <f t="shared" si="41"/>
        <v>100</v>
      </c>
      <c r="I327" s="149">
        <f t="shared" si="40"/>
        <v>0.03619778469557663</v>
      </c>
      <c r="J327" s="229">
        <v>5000</v>
      </c>
      <c r="K327" s="229">
        <v>5000</v>
      </c>
    </row>
    <row r="328" spans="1:11" ht="12.75">
      <c r="A328" s="94" t="s">
        <v>58</v>
      </c>
      <c r="B328" s="24"/>
      <c r="C328" s="18">
        <v>412600</v>
      </c>
      <c r="D328" s="34" t="s">
        <v>153</v>
      </c>
      <c r="E328" s="229">
        <v>2000</v>
      </c>
      <c r="F328" s="229">
        <f t="shared" si="42"/>
        <v>-540</v>
      </c>
      <c r="G328" s="229">
        <v>1460</v>
      </c>
      <c r="H328" s="241">
        <f t="shared" si="41"/>
        <v>73</v>
      </c>
      <c r="I328" s="149">
        <f t="shared" si="40"/>
        <v>0.010569753131108377</v>
      </c>
      <c r="J328" s="229">
        <v>1460</v>
      </c>
      <c r="K328" s="229">
        <v>1460</v>
      </c>
    </row>
    <row r="329" spans="1:11" ht="12.75">
      <c r="A329" s="94" t="s">
        <v>58</v>
      </c>
      <c r="B329" s="24"/>
      <c r="C329" s="79">
        <v>412700</v>
      </c>
      <c r="D329" s="79" t="s">
        <v>154</v>
      </c>
      <c r="E329" s="229">
        <v>10000</v>
      </c>
      <c r="F329" s="229">
        <f t="shared" si="42"/>
        <v>-580</v>
      </c>
      <c r="G329" s="229">
        <v>9420</v>
      </c>
      <c r="H329" s="241">
        <f t="shared" si="41"/>
        <v>94.19999999999999</v>
      </c>
      <c r="I329" s="149">
        <f t="shared" si="40"/>
        <v>0.06819662636646638</v>
      </c>
      <c r="J329" s="229">
        <v>9420</v>
      </c>
      <c r="K329" s="229">
        <v>9420</v>
      </c>
    </row>
    <row r="330" spans="1:11" ht="36" hidden="1">
      <c r="A330" s="94" t="s">
        <v>58</v>
      </c>
      <c r="B330" s="24"/>
      <c r="C330" s="79">
        <v>412900</v>
      </c>
      <c r="D330" s="31" t="s">
        <v>376</v>
      </c>
      <c r="E330" s="229">
        <v>0</v>
      </c>
      <c r="F330" s="229">
        <f t="shared" si="42"/>
        <v>0</v>
      </c>
      <c r="G330" s="229">
        <v>0</v>
      </c>
      <c r="H330" s="241" t="e">
        <f t="shared" si="41"/>
        <v>#DIV/0!</v>
      </c>
      <c r="I330" s="149">
        <f t="shared" si="40"/>
        <v>0</v>
      </c>
      <c r="J330" s="229">
        <v>0</v>
      </c>
      <c r="K330" s="229">
        <v>0</v>
      </c>
    </row>
    <row r="331" spans="1:11" ht="12.75">
      <c r="A331" s="94" t="s">
        <v>58</v>
      </c>
      <c r="B331" s="24"/>
      <c r="C331" s="79">
        <v>412900</v>
      </c>
      <c r="D331" s="79" t="s">
        <v>156</v>
      </c>
      <c r="E331" s="229">
        <v>4000</v>
      </c>
      <c r="F331" s="229">
        <f t="shared" si="42"/>
        <v>120</v>
      </c>
      <c r="G331" s="229">
        <v>4120</v>
      </c>
      <c r="H331" s="241">
        <f t="shared" si="41"/>
        <v>103</v>
      </c>
      <c r="I331" s="149">
        <f t="shared" si="40"/>
        <v>0.02982697458915514</v>
      </c>
      <c r="J331" s="229">
        <v>4120</v>
      </c>
      <c r="K331" s="229">
        <v>4120</v>
      </c>
    </row>
    <row r="332" spans="1:11" ht="14.25" customHeight="1">
      <c r="A332" s="146"/>
      <c r="B332" s="24">
        <v>511000</v>
      </c>
      <c r="C332" s="18"/>
      <c r="D332" s="33" t="s">
        <v>165</v>
      </c>
      <c r="E332" s="214">
        <f>SUM(E333:E333)</f>
        <v>2000</v>
      </c>
      <c r="F332" s="214">
        <f>SUM(F333:F335)</f>
        <v>1600</v>
      </c>
      <c r="G332" s="214">
        <f>SUM(G333:G335)</f>
        <v>3600</v>
      </c>
      <c r="H332" s="214">
        <f t="shared" si="41"/>
        <v>180</v>
      </c>
      <c r="I332" s="147">
        <f t="shared" si="40"/>
        <v>0.026062404980815173</v>
      </c>
      <c r="J332" s="214">
        <f>SUM(J333:J335)</f>
        <v>3600</v>
      </c>
      <c r="K332" s="214">
        <f>SUM(K333:K335)</f>
        <v>3600</v>
      </c>
    </row>
    <row r="333" spans="1:11" ht="15.75" customHeight="1">
      <c r="A333" s="146" t="s">
        <v>58</v>
      </c>
      <c r="B333" s="34"/>
      <c r="C333" s="18">
        <v>511300</v>
      </c>
      <c r="D333" s="34" t="s">
        <v>2</v>
      </c>
      <c r="E333" s="229">
        <v>2000</v>
      </c>
      <c r="F333" s="229">
        <f>G333-E333</f>
        <v>0</v>
      </c>
      <c r="G333" s="229">
        <v>2000</v>
      </c>
      <c r="H333" s="241">
        <f t="shared" si="41"/>
        <v>100</v>
      </c>
      <c r="I333" s="149">
        <f t="shared" si="40"/>
        <v>0.014479113878230651</v>
      </c>
      <c r="J333" s="229">
        <v>2000</v>
      </c>
      <c r="K333" s="229">
        <v>2000</v>
      </c>
    </row>
    <row r="334" spans="1:11" ht="15.75" customHeight="1">
      <c r="A334" s="146" t="s">
        <v>58</v>
      </c>
      <c r="B334" s="34"/>
      <c r="C334" s="18">
        <v>511300</v>
      </c>
      <c r="D334" s="34" t="s">
        <v>513</v>
      </c>
      <c r="E334" s="229">
        <v>0</v>
      </c>
      <c r="F334" s="229">
        <f>G334-E334</f>
        <v>500</v>
      </c>
      <c r="G334" s="229">
        <v>500</v>
      </c>
      <c r="H334" s="241" t="e">
        <f t="shared" si="41"/>
        <v>#DIV/0!</v>
      </c>
      <c r="I334" s="149">
        <f t="shared" si="40"/>
        <v>0.003619778469557663</v>
      </c>
      <c r="J334" s="229">
        <v>500</v>
      </c>
      <c r="K334" s="229">
        <v>500</v>
      </c>
    </row>
    <row r="335" spans="1:11" ht="25.5" customHeight="1">
      <c r="A335" s="146" t="s">
        <v>58</v>
      </c>
      <c r="B335" s="34"/>
      <c r="C335" s="18">
        <v>511300</v>
      </c>
      <c r="D335" s="31" t="s">
        <v>472</v>
      </c>
      <c r="E335" s="229">
        <v>0</v>
      </c>
      <c r="F335" s="229">
        <f>G335-E335</f>
        <v>1100</v>
      </c>
      <c r="G335" s="229">
        <v>1100</v>
      </c>
      <c r="H335" s="241" t="e">
        <f t="shared" si="41"/>
        <v>#DIV/0!</v>
      </c>
      <c r="I335" s="149">
        <f t="shared" si="40"/>
        <v>0.007963512633026859</v>
      </c>
      <c r="J335" s="229">
        <v>1100</v>
      </c>
      <c r="K335" s="229">
        <v>1100</v>
      </c>
    </row>
    <row r="336" spans="1:11" ht="30" customHeight="1">
      <c r="A336" s="530"/>
      <c r="B336" s="531"/>
      <c r="C336" s="505" t="s">
        <v>95</v>
      </c>
      <c r="D336" s="506"/>
      <c r="E336" s="72">
        <f>E320+E322+E332</f>
        <v>94500</v>
      </c>
      <c r="F336" s="72">
        <f>F320+F322+F332</f>
        <v>-9975</v>
      </c>
      <c r="G336" s="72">
        <f>G320+G322+G332</f>
        <v>84525</v>
      </c>
      <c r="H336" s="380">
        <f t="shared" si="41"/>
        <v>89.44444444444444</v>
      </c>
      <c r="I336" s="148">
        <f t="shared" si="40"/>
        <v>0.6119235502787229</v>
      </c>
      <c r="J336" s="72">
        <f>J320+J322+J332</f>
        <v>84525</v>
      </c>
      <c r="K336" s="72">
        <f>K320+K322+K332</f>
        <v>87025</v>
      </c>
    </row>
    <row r="337" spans="1:11" ht="9.75" customHeight="1">
      <c r="A337" s="507"/>
      <c r="B337" s="508"/>
      <c r="C337" s="503" t="s">
        <v>379</v>
      </c>
      <c r="D337" s="504"/>
      <c r="E337" s="201"/>
      <c r="F337" s="201"/>
      <c r="G337" s="201"/>
      <c r="H337" s="201"/>
      <c r="I337" s="285"/>
      <c r="K337" s="201"/>
    </row>
    <row r="338" spans="1:11" ht="30" customHeight="1">
      <c r="A338" s="511"/>
      <c r="B338" s="512"/>
      <c r="C338" s="504"/>
      <c r="D338" s="504"/>
      <c r="E338" s="203"/>
      <c r="F338" s="203"/>
      <c r="G338" s="203"/>
      <c r="H338" s="203"/>
      <c r="I338" s="287"/>
      <c r="J338" s="429" t="s">
        <v>526</v>
      </c>
      <c r="K338" s="203">
        <f>G336-K336</f>
        <v>-2500</v>
      </c>
    </row>
    <row r="339" spans="1:11" ht="14.25" customHeight="1">
      <c r="A339" s="146"/>
      <c r="B339" s="24">
        <v>411000</v>
      </c>
      <c r="C339" s="34"/>
      <c r="D339" s="27" t="s">
        <v>425</v>
      </c>
      <c r="E339" s="64">
        <f>SUM(E340:E343)</f>
        <v>120500</v>
      </c>
      <c r="F339" s="64">
        <f>SUM(F340:F343)</f>
        <v>17800</v>
      </c>
      <c r="G339" s="64">
        <f>SUM(G340:G343)</f>
        <v>138300</v>
      </c>
      <c r="H339" s="214">
        <f>G339/E339*100</f>
        <v>114.77178423236514</v>
      </c>
      <c r="I339" s="147">
        <f aca="true" t="shared" si="43" ref="I339:I361">G339/$G$432*100</f>
        <v>1.0012307246796497</v>
      </c>
      <c r="J339" s="64">
        <f>SUM(J340:J343)</f>
        <v>138300</v>
      </c>
      <c r="K339" s="64">
        <f>SUM(K340:K343)</f>
        <v>120500</v>
      </c>
    </row>
    <row r="340" spans="1:11" ht="12.75">
      <c r="A340" s="146" t="s">
        <v>37</v>
      </c>
      <c r="B340" s="34"/>
      <c r="C340" s="18">
        <v>411100</v>
      </c>
      <c r="D340" s="28" t="s">
        <v>419</v>
      </c>
      <c r="E340" s="229">
        <v>90000</v>
      </c>
      <c r="F340" s="229">
        <f>G340-E340</f>
        <v>17800</v>
      </c>
      <c r="G340" s="229">
        <v>107800</v>
      </c>
      <c r="H340" s="241">
        <f aca="true" t="shared" si="44" ref="H340:H361">G340/E340*100</f>
        <v>119.77777777777779</v>
      </c>
      <c r="I340" s="149">
        <f t="shared" si="43"/>
        <v>0.7804242380366321</v>
      </c>
      <c r="J340" s="229">
        <v>107800</v>
      </c>
      <c r="K340" s="229">
        <v>90000</v>
      </c>
    </row>
    <row r="341" spans="1:11" ht="24">
      <c r="A341" s="146" t="s">
        <v>37</v>
      </c>
      <c r="B341" s="34"/>
      <c r="C341" s="18">
        <v>411200</v>
      </c>
      <c r="D341" s="28" t="s">
        <v>426</v>
      </c>
      <c r="E341" s="229">
        <v>23000</v>
      </c>
      <c r="F341" s="229">
        <f>G341-E341</f>
        <v>0</v>
      </c>
      <c r="G341" s="229">
        <v>23000</v>
      </c>
      <c r="H341" s="241">
        <f t="shared" si="44"/>
        <v>100</v>
      </c>
      <c r="I341" s="149">
        <f t="shared" si="43"/>
        <v>0.1665098095996525</v>
      </c>
      <c r="J341" s="229">
        <v>23000</v>
      </c>
      <c r="K341" s="229">
        <v>23000</v>
      </c>
    </row>
    <row r="342" spans="1:11" ht="24" customHeight="1">
      <c r="A342" s="146" t="s">
        <v>37</v>
      </c>
      <c r="B342" s="34"/>
      <c r="C342" s="18">
        <v>411300</v>
      </c>
      <c r="D342" s="28" t="s">
        <v>420</v>
      </c>
      <c r="E342" s="229">
        <v>2500</v>
      </c>
      <c r="F342" s="229">
        <f>G342-E342</f>
        <v>0</v>
      </c>
      <c r="G342" s="229">
        <v>2500</v>
      </c>
      <c r="H342" s="241">
        <f t="shared" si="44"/>
        <v>100</v>
      </c>
      <c r="I342" s="149">
        <f t="shared" si="43"/>
        <v>0.018098892347788314</v>
      </c>
      <c r="J342" s="229">
        <v>2500</v>
      </c>
      <c r="K342" s="229">
        <v>2500</v>
      </c>
    </row>
    <row r="343" spans="1:11" ht="12.75">
      <c r="A343" s="146" t="s">
        <v>37</v>
      </c>
      <c r="B343" s="34"/>
      <c r="C343" s="18">
        <v>411400</v>
      </c>
      <c r="D343" s="30" t="s">
        <v>421</v>
      </c>
      <c r="E343" s="229">
        <v>5000</v>
      </c>
      <c r="F343" s="229">
        <f>G343-E343</f>
        <v>0</v>
      </c>
      <c r="G343" s="229">
        <v>5000</v>
      </c>
      <c r="H343" s="241">
        <f t="shared" si="44"/>
        <v>100</v>
      </c>
      <c r="I343" s="149">
        <f t="shared" si="43"/>
        <v>0.03619778469557663</v>
      </c>
      <c r="J343" s="229">
        <v>5000</v>
      </c>
      <c r="K343" s="229">
        <v>5000</v>
      </c>
    </row>
    <row r="344" spans="1:11" ht="14.25" customHeight="1">
      <c r="A344" s="146"/>
      <c r="B344" s="24">
        <v>412000</v>
      </c>
      <c r="C344" s="18"/>
      <c r="D344" s="33" t="s">
        <v>147</v>
      </c>
      <c r="E344" s="214">
        <f>SUM(E345:E353)</f>
        <v>40000</v>
      </c>
      <c r="F344" s="214">
        <f>SUM(F345:F353)</f>
        <v>14450</v>
      </c>
      <c r="G344" s="214">
        <f>SUM(G345:G353)</f>
        <v>54450</v>
      </c>
      <c r="H344" s="214">
        <f t="shared" si="44"/>
        <v>136.125</v>
      </c>
      <c r="I344" s="147">
        <f t="shared" si="43"/>
        <v>0.3941938753348295</v>
      </c>
      <c r="J344" s="214">
        <f>SUM(J345:J353)</f>
        <v>51450</v>
      </c>
      <c r="K344" s="214">
        <f>SUM(K345:K353)</f>
        <v>54450</v>
      </c>
    </row>
    <row r="345" spans="1:11" ht="24">
      <c r="A345" s="146" t="s">
        <v>37</v>
      </c>
      <c r="B345" s="24"/>
      <c r="C345" s="18">
        <v>412200</v>
      </c>
      <c r="D345" s="31" t="s">
        <v>149</v>
      </c>
      <c r="E345" s="229">
        <v>14000</v>
      </c>
      <c r="F345" s="229">
        <f>G345-E345</f>
        <v>0</v>
      </c>
      <c r="G345" s="229">
        <v>14000</v>
      </c>
      <c r="H345" s="241">
        <f t="shared" si="44"/>
        <v>100</v>
      </c>
      <c r="I345" s="149">
        <f t="shared" si="43"/>
        <v>0.10135379714761457</v>
      </c>
      <c r="J345" s="229">
        <v>14000</v>
      </c>
      <c r="K345" s="229">
        <v>14000</v>
      </c>
    </row>
    <row r="346" spans="1:11" ht="12.75">
      <c r="A346" s="146" t="s">
        <v>37</v>
      </c>
      <c r="B346" s="24"/>
      <c r="C346" s="18">
        <v>412300</v>
      </c>
      <c r="D346" s="34" t="s">
        <v>150</v>
      </c>
      <c r="E346" s="229">
        <v>1000</v>
      </c>
      <c r="F346" s="229">
        <f aca="true" t="shared" si="45" ref="F346:F353">G346-E346</f>
        <v>0</v>
      </c>
      <c r="G346" s="229">
        <v>1000</v>
      </c>
      <c r="H346" s="241">
        <f t="shared" si="44"/>
        <v>100</v>
      </c>
      <c r="I346" s="149">
        <f t="shared" si="43"/>
        <v>0.007239556939115326</v>
      </c>
      <c r="J346" s="229">
        <v>1000</v>
      </c>
      <c r="K346" s="229">
        <v>1000</v>
      </c>
    </row>
    <row r="347" spans="1:11" ht="12.75">
      <c r="A347" s="146" t="s">
        <v>37</v>
      </c>
      <c r="B347" s="24"/>
      <c r="C347" s="18">
        <v>412500</v>
      </c>
      <c r="D347" s="34" t="s">
        <v>152</v>
      </c>
      <c r="E347" s="229">
        <v>1000</v>
      </c>
      <c r="F347" s="229">
        <f t="shared" si="45"/>
        <v>0</v>
      </c>
      <c r="G347" s="229">
        <v>1000</v>
      </c>
      <c r="H347" s="241">
        <f t="shared" si="44"/>
        <v>100</v>
      </c>
      <c r="I347" s="149">
        <f t="shared" si="43"/>
        <v>0.007239556939115326</v>
      </c>
      <c r="J347" s="229">
        <v>1000</v>
      </c>
      <c r="K347" s="229">
        <v>1000</v>
      </c>
    </row>
    <row r="348" spans="1:11" ht="12.75">
      <c r="A348" s="146" t="s">
        <v>37</v>
      </c>
      <c r="B348" s="24"/>
      <c r="C348" s="18">
        <v>412600</v>
      </c>
      <c r="D348" s="34" t="s">
        <v>153</v>
      </c>
      <c r="E348" s="229">
        <v>500</v>
      </c>
      <c r="F348" s="229">
        <f t="shared" si="45"/>
        <v>0</v>
      </c>
      <c r="G348" s="229">
        <v>500</v>
      </c>
      <c r="H348" s="241">
        <f t="shared" si="44"/>
        <v>100</v>
      </c>
      <c r="I348" s="149">
        <f t="shared" si="43"/>
        <v>0.003619778469557663</v>
      </c>
      <c r="J348" s="229">
        <v>500</v>
      </c>
      <c r="K348" s="229">
        <v>500</v>
      </c>
    </row>
    <row r="349" spans="1:11" ht="12.75" customHeight="1">
      <c r="A349" s="146" t="s">
        <v>37</v>
      </c>
      <c r="B349" s="24"/>
      <c r="C349" s="79">
        <v>412700</v>
      </c>
      <c r="D349" s="79" t="s">
        <v>197</v>
      </c>
      <c r="E349" s="229">
        <v>10000</v>
      </c>
      <c r="F349" s="229">
        <f t="shared" si="45"/>
        <v>-1150</v>
      </c>
      <c r="G349" s="229">
        <v>8850</v>
      </c>
      <c r="H349" s="241">
        <f t="shared" si="44"/>
        <v>88.5</v>
      </c>
      <c r="I349" s="149">
        <f t="shared" si="43"/>
        <v>0.06407007891117063</v>
      </c>
      <c r="J349" s="229">
        <v>8850</v>
      </c>
      <c r="K349" s="229">
        <v>8850</v>
      </c>
    </row>
    <row r="350" spans="1:11" ht="25.5" customHeight="1">
      <c r="A350" s="146" t="s">
        <v>37</v>
      </c>
      <c r="B350" s="24"/>
      <c r="C350" s="79">
        <v>412700</v>
      </c>
      <c r="D350" s="31" t="s">
        <v>351</v>
      </c>
      <c r="E350" s="211">
        <v>0</v>
      </c>
      <c r="F350" s="229">
        <f t="shared" si="45"/>
        <v>5600</v>
      </c>
      <c r="G350" s="211">
        <v>5600</v>
      </c>
      <c r="H350" s="241" t="e">
        <f t="shared" si="44"/>
        <v>#DIV/0!</v>
      </c>
      <c r="I350" s="149">
        <f t="shared" si="43"/>
        <v>0.040541518859045826</v>
      </c>
      <c r="J350" s="211">
        <v>2600</v>
      </c>
      <c r="K350" s="211">
        <v>5600</v>
      </c>
    </row>
    <row r="351" spans="1:11" ht="24" customHeight="1">
      <c r="A351" s="146" t="s">
        <v>37</v>
      </c>
      <c r="B351" s="24"/>
      <c r="C351" s="79">
        <v>412700</v>
      </c>
      <c r="D351" s="97" t="s">
        <v>202</v>
      </c>
      <c r="E351" s="229">
        <v>10000</v>
      </c>
      <c r="F351" s="229">
        <f t="shared" si="45"/>
        <v>0</v>
      </c>
      <c r="G351" s="229">
        <v>10000</v>
      </c>
      <c r="H351" s="241">
        <f t="shared" si="44"/>
        <v>100</v>
      </c>
      <c r="I351" s="149">
        <f t="shared" si="43"/>
        <v>0.07239556939115326</v>
      </c>
      <c r="J351" s="229">
        <v>10000</v>
      </c>
      <c r="K351" s="229">
        <v>10000</v>
      </c>
    </row>
    <row r="352" spans="1:11" ht="24.75" customHeight="1">
      <c r="A352" s="146" t="s">
        <v>37</v>
      </c>
      <c r="B352" s="24"/>
      <c r="C352" s="79">
        <v>412700</v>
      </c>
      <c r="D352" s="31" t="s">
        <v>384</v>
      </c>
      <c r="E352" s="229">
        <v>0</v>
      </c>
      <c r="F352" s="229">
        <f t="shared" si="45"/>
        <v>10000</v>
      </c>
      <c r="G352" s="229">
        <v>10000</v>
      </c>
      <c r="H352" s="241" t="e">
        <f t="shared" si="44"/>
        <v>#DIV/0!</v>
      </c>
      <c r="I352" s="149">
        <f t="shared" si="43"/>
        <v>0.07239556939115326</v>
      </c>
      <c r="J352" s="229">
        <v>10000</v>
      </c>
      <c r="K352" s="229">
        <v>10000</v>
      </c>
    </row>
    <row r="353" spans="1:11" ht="12.75">
      <c r="A353" s="146" t="s">
        <v>37</v>
      </c>
      <c r="B353" s="24"/>
      <c r="C353" s="79">
        <v>412900</v>
      </c>
      <c r="D353" s="97" t="s">
        <v>156</v>
      </c>
      <c r="E353" s="241">
        <v>3500</v>
      </c>
      <c r="F353" s="229">
        <f t="shared" si="45"/>
        <v>0</v>
      </c>
      <c r="G353" s="241">
        <v>3500</v>
      </c>
      <c r="H353" s="241">
        <f t="shared" si="44"/>
        <v>100</v>
      </c>
      <c r="I353" s="149">
        <f t="shared" si="43"/>
        <v>0.025338449286903642</v>
      </c>
      <c r="J353" s="241">
        <v>3500</v>
      </c>
      <c r="K353" s="241">
        <v>3500</v>
      </c>
    </row>
    <row r="354" spans="1:11" ht="14.25" customHeight="1">
      <c r="A354" s="146"/>
      <c r="B354" s="24">
        <v>511000</v>
      </c>
      <c r="C354" s="34"/>
      <c r="D354" s="33" t="s">
        <v>165</v>
      </c>
      <c r="E354" s="214">
        <f>SUM(E355:E356)</f>
        <v>3000</v>
      </c>
      <c r="F354" s="214">
        <f>SUM(F355:F356)</f>
        <v>-821.33</v>
      </c>
      <c r="G354" s="214">
        <f>SUM(G355:G356)</f>
        <v>2178.67</v>
      </c>
      <c r="H354" s="214">
        <f t="shared" si="44"/>
        <v>72.62233333333333</v>
      </c>
      <c r="I354" s="147">
        <f t="shared" si="43"/>
        <v>0.01577260551654239</v>
      </c>
      <c r="J354" s="214">
        <f>SUM(J355:J356)</f>
        <v>2178.67</v>
      </c>
      <c r="K354" s="214">
        <f>SUM(K355:K356)</f>
        <v>2178.67</v>
      </c>
    </row>
    <row r="355" spans="1:11" ht="23.25" customHeight="1">
      <c r="A355" s="146" t="s">
        <v>37</v>
      </c>
      <c r="B355" s="34"/>
      <c r="C355" s="18">
        <v>511200</v>
      </c>
      <c r="D355" s="31" t="s">
        <v>176</v>
      </c>
      <c r="E355" s="229">
        <v>1500</v>
      </c>
      <c r="F355" s="229">
        <f>G355-E355</f>
        <v>-821.33</v>
      </c>
      <c r="G355" s="229">
        <v>678.67</v>
      </c>
      <c r="H355" s="241">
        <f t="shared" si="44"/>
        <v>45.24466666666667</v>
      </c>
      <c r="I355" s="149">
        <f t="shared" si="43"/>
        <v>0.004913270107869398</v>
      </c>
      <c r="J355" s="229">
        <v>678.67</v>
      </c>
      <c r="K355" s="229">
        <v>678.67</v>
      </c>
    </row>
    <row r="356" spans="1:11" ht="16.5" customHeight="1">
      <c r="A356" s="146" t="s">
        <v>37</v>
      </c>
      <c r="B356" s="34"/>
      <c r="C356" s="18">
        <v>511300</v>
      </c>
      <c r="D356" s="31" t="s">
        <v>2</v>
      </c>
      <c r="E356" s="229">
        <v>1500</v>
      </c>
      <c r="F356" s="229">
        <f>G356-E356</f>
        <v>0</v>
      </c>
      <c r="G356" s="229">
        <v>1500</v>
      </c>
      <c r="H356" s="241">
        <f t="shared" si="44"/>
        <v>100</v>
      </c>
      <c r="I356" s="149">
        <f t="shared" si="43"/>
        <v>0.010859335408672989</v>
      </c>
      <c r="J356" s="229">
        <v>1500</v>
      </c>
      <c r="K356" s="229">
        <v>1500</v>
      </c>
    </row>
    <row r="357" spans="1:11" ht="29.25" customHeight="1">
      <c r="A357" s="146"/>
      <c r="B357" s="24">
        <v>516000</v>
      </c>
      <c r="C357" s="34"/>
      <c r="D357" s="60" t="s">
        <v>382</v>
      </c>
      <c r="E357" s="214">
        <f>SUM(E358:E358)</f>
        <v>3000</v>
      </c>
      <c r="F357" s="214">
        <f>SUM(F358:F358)</f>
        <v>0</v>
      </c>
      <c r="G357" s="214">
        <f>SUM(G358:G358)</f>
        <v>3000</v>
      </c>
      <c r="H357" s="214">
        <f t="shared" si="44"/>
        <v>100</v>
      </c>
      <c r="I357" s="147">
        <f t="shared" si="43"/>
        <v>0.021718670817345978</v>
      </c>
      <c r="J357" s="214">
        <f>SUM(J358:J358)</f>
        <v>3000</v>
      </c>
      <c r="K357" s="214">
        <f>SUM(K358:K358)</f>
        <v>3000</v>
      </c>
    </row>
    <row r="358" spans="1:11" ht="12.75">
      <c r="A358" s="146" t="s">
        <v>37</v>
      </c>
      <c r="B358" s="24"/>
      <c r="C358" s="34">
        <v>516100</v>
      </c>
      <c r="D358" s="31" t="s">
        <v>194</v>
      </c>
      <c r="E358" s="241">
        <v>3000</v>
      </c>
      <c r="F358" s="241">
        <f>G358-E358</f>
        <v>0</v>
      </c>
      <c r="G358" s="241">
        <v>3000</v>
      </c>
      <c r="H358" s="241">
        <f t="shared" si="44"/>
        <v>100</v>
      </c>
      <c r="I358" s="149">
        <f t="shared" si="43"/>
        <v>0.021718670817345978</v>
      </c>
      <c r="J358" s="241">
        <v>3000</v>
      </c>
      <c r="K358" s="241">
        <v>3000</v>
      </c>
    </row>
    <row r="359" spans="1:11" ht="24.75" customHeight="1">
      <c r="A359" s="146"/>
      <c r="B359" s="24">
        <v>638000</v>
      </c>
      <c r="C359" s="18"/>
      <c r="D359" s="33" t="s">
        <v>422</v>
      </c>
      <c r="E359" s="64">
        <f>SUM(E360)</f>
        <v>4000</v>
      </c>
      <c r="F359" s="64">
        <f>SUM(F360)</f>
        <v>1971.33</v>
      </c>
      <c r="G359" s="64">
        <f>SUM(G360)</f>
        <v>5971.33</v>
      </c>
      <c r="H359" s="214">
        <f t="shared" si="44"/>
        <v>149.28325</v>
      </c>
      <c r="I359" s="147">
        <f t="shared" si="43"/>
        <v>0.04322978353724752</v>
      </c>
      <c r="J359" s="64">
        <f>SUM(J360)</f>
        <v>5971.33</v>
      </c>
      <c r="K359" s="64">
        <f>SUM(K360)</f>
        <v>5971.33</v>
      </c>
    </row>
    <row r="360" spans="1:11" ht="38.25" customHeight="1">
      <c r="A360" s="146"/>
      <c r="B360" s="34"/>
      <c r="C360" s="18">
        <v>638100</v>
      </c>
      <c r="D360" s="31" t="s">
        <v>423</v>
      </c>
      <c r="E360" s="229">
        <v>4000</v>
      </c>
      <c r="F360" s="229">
        <f>G360-E360</f>
        <v>1971.33</v>
      </c>
      <c r="G360" s="229">
        <v>5971.33</v>
      </c>
      <c r="H360" s="241">
        <f t="shared" si="44"/>
        <v>149.28325</v>
      </c>
      <c r="I360" s="149">
        <f t="shared" si="43"/>
        <v>0.04322978353724752</v>
      </c>
      <c r="J360" s="229">
        <v>5971.33</v>
      </c>
      <c r="K360" s="229">
        <v>5971.33</v>
      </c>
    </row>
    <row r="361" spans="1:11" ht="24.75" customHeight="1">
      <c r="A361" s="513"/>
      <c r="B361" s="514"/>
      <c r="C361" s="505" t="s">
        <v>96</v>
      </c>
      <c r="D361" s="506"/>
      <c r="E361" s="72">
        <f>E339+E344+E354+E357+E359</f>
        <v>170500</v>
      </c>
      <c r="F361" s="72">
        <f>F339+F344+F354+F357+F359</f>
        <v>33400</v>
      </c>
      <c r="G361" s="72">
        <f>G339+G344+G354+G357+G359</f>
        <v>203900</v>
      </c>
      <c r="H361" s="380">
        <f t="shared" si="44"/>
        <v>119.58944281524926</v>
      </c>
      <c r="I361" s="148">
        <f t="shared" si="43"/>
        <v>1.4761456598856149</v>
      </c>
      <c r="J361" s="72">
        <f>J339+J344+J354+J357+J359</f>
        <v>200900</v>
      </c>
      <c r="K361" s="72">
        <f>K339+K344+K354+K357+K359</f>
        <v>186100</v>
      </c>
    </row>
    <row r="362" spans="1:11" ht="9.75" customHeight="1">
      <c r="A362" s="515"/>
      <c r="B362" s="516"/>
      <c r="C362" s="503" t="s">
        <v>380</v>
      </c>
      <c r="D362" s="504"/>
      <c r="E362" s="201"/>
      <c r="F362" s="201"/>
      <c r="G362" s="201"/>
      <c r="H362" s="201"/>
      <c r="I362" s="285"/>
      <c r="K362" s="201"/>
    </row>
    <row r="363" spans="1:11" ht="9.75" customHeight="1">
      <c r="A363" s="517"/>
      <c r="B363" s="518"/>
      <c r="C363" s="504"/>
      <c r="D363" s="504"/>
      <c r="E363" s="202"/>
      <c r="F363" s="202"/>
      <c r="G363" s="202"/>
      <c r="H363" s="202"/>
      <c r="I363" s="286"/>
      <c r="J363" s="429" t="s">
        <v>526</v>
      </c>
      <c r="K363" s="202">
        <f>G361-K361</f>
        <v>17800</v>
      </c>
    </row>
    <row r="364" spans="1:11" ht="17.25" customHeight="1">
      <c r="A364" s="519"/>
      <c r="B364" s="520"/>
      <c r="C364" s="504"/>
      <c r="D364" s="504"/>
      <c r="E364" s="203"/>
      <c r="F364" s="203"/>
      <c r="G364" s="203"/>
      <c r="H364" s="203"/>
      <c r="I364" s="287"/>
      <c r="K364" s="203"/>
    </row>
    <row r="365" spans="1:11" ht="14.25" customHeight="1">
      <c r="A365" s="146"/>
      <c r="B365" s="24">
        <v>411000</v>
      </c>
      <c r="C365" s="34"/>
      <c r="D365" s="27" t="s">
        <v>425</v>
      </c>
      <c r="E365" s="64">
        <f>SUM(E366:E369)</f>
        <v>391000</v>
      </c>
      <c r="F365" s="64">
        <f>SUM(F366:F369)</f>
        <v>-3265</v>
      </c>
      <c r="G365" s="64">
        <f>SUM(G366:G369)</f>
        <v>387735</v>
      </c>
      <c r="H365" s="214">
        <f>G365/E365*100</f>
        <v>99.16496163682864</v>
      </c>
      <c r="I365" s="147">
        <f aca="true" t="shared" si="46" ref="I365:I387">G365/$G$432*100</f>
        <v>2.807029609787881</v>
      </c>
      <c r="J365" s="64">
        <f>SUM(J366:J369)</f>
        <v>387735</v>
      </c>
      <c r="K365" s="64">
        <f>SUM(K366:K369)</f>
        <v>387935</v>
      </c>
    </row>
    <row r="366" spans="1:11" ht="12.75">
      <c r="A366" s="146" t="s">
        <v>59</v>
      </c>
      <c r="B366" s="34"/>
      <c r="C366" s="18">
        <v>411100</v>
      </c>
      <c r="D366" s="28" t="s">
        <v>31</v>
      </c>
      <c r="E366" s="229">
        <v>300000</v>
      </c>
      <c r="F366" s="229">
        <f>G366-E366</f>
        <v>-3365</v>
      </c>
      <c r="G366" s="229">
        <v>296635</v>
      </c>
      <c r="H366" s="241">
        <f aca="true" t="shared" si="47" ref="H366:H387">G366/E366*100</f>
        <v>98.87833333333333</v>
      </c>
      <c r="I366" s="149">
        <f t="shared" si="46"/>
        <v>2.1475059726344745</v>
      </c>
      <c r="J366" s="229">
        <v>296635</v>
      </c>
      <c r="K366" s="229">
        <v>296635</v>
      </c>
    </row>
    <row r="367" spans="1:11" ht="12.75">
      <c r="A367" s="146" t="s">
        <v>59</v>
      </c>
      <c r="B367" s="34"/>
      <c r="C367" s="18">
        <v>411200</v>
      </c>
      <c r="D367" s="30" t="s">
        <v>146</v>
      </c>
      <c r="E367" s="229">
        <v>85000</v>
      </c>
      <c r="F367" s="229">
        <f>G367-E367</f>
        <v>-200</v>
      </c>
      <c r="G367" s="229">
        <v>84800</v>
      </c>
      <c r="H367" s="241">
        <f t="shared" si="47"/>
        <v>99.76470588235294</v>
      </c>
      <c r="I367" s="149">
        <f t="shared" si="46"/>
        <v>0.6139144284369796</v>
      </c>
      <c r="J367" s="229">
        <v>84800</v>
      </c>
      <c r="K367" s="211">
        <v>85000</v>
      </c>
    </row>
    <row r="368" spans="1:11" ht="24" customHeight="1">
      <c r="A368" s="146" t="s">
        <v>59</v>
      </c>
      <c r="B368" s="34"/>
      <c r="C368" s="18">
        <v>411300</v>
      </c>
      <c r="D368" s="28" t="s">
        <v>420</v>
      </c>
      <c r="E368" s="229">
        <v>4000</v>
      </c>
      <c r="F368" s="229">
        <f>G368-E368</f>
        <v>300</v>
      </c>
      <c r="G368" s="229">
        <v>4300</v>
      </c>
      <c r="H368" s="241">
        <f t="shared" si="47"/>
        <v>107.5</v>
      </c>
      <c r="I368" s="149">
        <f t="shared" si="46"/>
        <v>0.031130094838195906</v>
      </c>
      <c r="J368" s="229">
        <v>4300</v>
      </c>
      <c r="K368" s="229">
        <v>4300</v>
      </c>
    </row>
    <row r="369" spans="1:11" ht="14.25" customHeight="1">
      <c r="A369" s="146" t="s">
        <v>59</v>
      </c>
      <c r="B369" s="34"/>
      <c r="C369" s="18">
        <v>411400</v>
      </c>
      <c r="D369" s="30" t="s">
        <v>421</v>
      </c>
      <c r="E369" s="229">
        <v>2000</v>
      </c>
      <c r="F369" s="229">
        <f>G369-E369</f>
        <v>0</v>
      </c>
      <c r="G369" s="229">
        <v>2000</v>
      </c>
      <c r="H369" s="241">
        <f t="shared" si="47"/>
        <v>100</v>
      </c>
      <c r="I369" s="149">
        <f t="shared" si="46"/>
        <v>0.014479113878230651</v>
      </c>
      <c r="J369" s="229">
        <v>2000</v>
      </c>
      <c r="K369" s="229">
        <v>2000</v>
      </c>
    </row>
    <row r="370" spans="1:11" ht="14.25" customHeight="1">
      <c r="A370" s="146"/>
      <c r="B370" s="24">
        <v>412000</v>
      </c>
      <c r="C370" s="18"/>
      <c r="D370" s="33" t="s">
        <v>147</v>
      </c>
      <c r="E370" s="214">
        <f>SUM(E371:E379)</f>
        <v>114900</v>
      </c>
      <c r="F370" s="214">
        <f>SUM(F371:F379)</f>
        <v>-288.3299999999999</v>
      </c>
      <c r="G370" s="214">
        <f>SUM(G371:G379)</f>
        <v>114611.67</v>
      </c>
      <c r="H370" s="214">
        <f t="shared" si="47"/>
        <v>99.74906005221932</v>
      </c>
      <c r="I370" s="147">
        <f t="shared" si="46"/>
        <v>0.8297377108520958</v>
      </c>
      <c r="J370" s="214">
        <f>SUM(J371:J379)</f>
        <v>114611.67</v>
      </c>
      <c r="K370" s="214">
        <f>SUM(K371:K379)</f>
        <v>116104.48</v>
      </c>
    </row>
    <row r="371" spans="1:11" ht="24">
      <c r="A371" s="146" t="s">
        <v>59</v>
      </c>
      <c r="B371" s="24"/>
      <c r="C371" s="18">
        <v>412200</v>
      </c>
      <c r="D371" s="31" t="s">
        <v>149</v>
      </c>
      <c r="E371" s="229">
        <v>30000</v>
      </c>
      <c r="F371" s="229">
        <f>G371-E371</f>
        <v>2870</v>
      </c>
      <c r="G371" s="229">
        <v>32870</v>
      </c>
      <c r="H371" s="241">
        <f t="shared" si="47"/>
        <v>109.56666666666666</v>
      </c>
      <c r="I371" s="149">
        <f t="shared" si="46"/>
        <v>0.23796423658872076</v>
      </c>
      <c r="J371" s="229">
        <v>32870</v>
      </c>
      <c r="K371" s="229">
        <v>32870</v>
      </c>
    </row>
    <row r="372" spans="1:11" ht="12.75">
      <c r="A372" s="146" t="s">
        <v>59</v>
      </c>
      <c r="B372" s="24"/>
      <c r="C372" s="18">
        <v>412300</v>
      </c>
      <c r="D372" s="34" t="s">
        <v>150</v>
      </c>
      <c r="E372" s="229">
        <v>7000</v>
      </c>
      <c r="F372" s="229">
        <f aca="true" t="shared" si="48" ref="F372:F379">G372-E372</f>
        <v>-100</v>
      </c>
      <c r="G372" s="229">
        <v>6900</v>
      </c>
      <c r="H372" s="241">
        <f t="shared" si="47"/>
        <v>98.57142857142858</v>
      </c>
      <c r="I372" s="149">
        <f t="shared" si="46"/>
        <v>0.04995294287989575</v>
      </c>
      <c r="J372" s="229">
        <v>6900</v>
      </c>
      <c r="K372" s="229">
        <v>7000</v>
      </c>
    </row>
    <row r="373" spans="1:11" ht="12.75">
      <c r="A373" s="146" t="s">
        <v>59</v>
      </c>
      <c r="B373" s="24"/>
      <c r="C373" s="18">
        <v>412400</v>
      </c>
      <c r="D373" s="31" t="s">
        <v>151</v>
      </c>
      <c r="E373" s="229">
        <v>60000</v>
      </c>
      <c r="F373" s="229">
        <f t="shared" si="48"/>
        <v>-13028</v>
      </c>
      <c r="G373" s="229">
        <v>46972</v>
      </c>
      <c r="H373" s="241">
        <f t="shared" si="47"/>
        <v>78.28666666666668</v>
      </c>
      <c r="I373" s="149">
        <f t="shared" si="46"/>
        <v>0.34005646854412513</v>
      </c>
      <c r="J373" s="229">
        <v>46972</v>
      </c>
      <c r="K373" s="211">
        <v>48030</v>
      </c>
    </row>
    <row r="374" spans="1:11" ht="24">
      <c r="A374" s="146" t="s">
        <v>59</v>
      </c>
      <c r="B374" s="24"/>
      <c r="C374" s="18">
        <v>412400</v>
      </c>
      <c r="D374" s="31" t="s">
        <v>514</v>
      </c>
      <c r="E374" s="229">
        <v>0</v>
      </c>
      <c r="F374" s="229">
        <f t="shared" si="48"/>
        <v>2232.5</v>
      </c>
      <c r="G374" s="229">
        <v>2232.5</v>
      </c>
      <c r="H374" s="241" t="e">
        <f t="shared" si="47"/>
        <v>#DIV/0!</v>
      </c>
      <c r="I374" s="149">
        <f t="shared" si="46"/>
        <v>0.016162310866574967</v>
      </c>
      <c r="J374" s="229">
        <v>2232.5</v>
      </c>
      <c r="K374" s="229">
        <v>2232.5</v>
      </c>
    </row>
    <row r="375" spans="1:11" ht="12.75">
      <c r="A375" s="146" t="s">
        <v>59</v>
      </c>
      <c r="B375" s="24"/>
      <c r="C375" s="18">
        <v>412500</v>
      </c>
      <c r="D375" s="34" t="s">
        <v>152</v>
      </c>
      <c r="E375" s="229">
        <v>4000</v>
      </c>
      <c r="F375" s="229">
        <f t="shared" si="48"/>
        <v>4500</v>
      </c>
      <c r="G375" s="229">
        <v>8500</v>
      </c>
      <c r="H375" s="241">
        <f t="shared" si="47"/>
        <v>212.5</v>
      </c>
      <c r="I375" s="149">
        <f t="shared" si="46"/>
        <v>0.061536233982480266</v>
      </c>
      <c r="J375" s="229">
        <v>8500</v>
      </c>
      <c r="K375" s="229">
        <v>8500</v>
      </c>
    </row>
    <row r="376" spans="1:11" ht="12.75">
      <c r="A376" s="146" t="s">
        <v>59</v>
      </c>
      <c r="B376" s="24"/>
      <c r="C376" s="18">
        <v>412600</v>
      </c>
      <c r="D376" s="34" t="s">
        <v>153</v>
      </c>
      <c r="E376" s="229">
        <v>1000</v>
      </c>
      <c r="F376" s="229">
        <f t="shared" si="48"/>
        <v>-200</v>
      </c>
      <c r="G376" s="229">
        <v>800</v>
      </c>
      <c r="H376" s="241">
        <f t="shared" si="47"/>
        <v>80</v>
      </c>
      <c r="I376" s="149">
        <f t="shared" si="46"/>
        <v>0.005791645551292261</v>
      </c>
      <c r="J376" s="229">
        <v>800</v>
      </c>
      <c r="K376" s="229">
        <v>1000</v>
      </c>
    </row>
    <row r="377" spans="1:12" ht="12.75">
      <c r="A377" s="146" t="s">
        <v>59</v>
      </c>
      <c r="B377" s="24"/>
      <c r="C377" s="79">
        <v>412700</v>
      </c>
      <c r="D377" s="79" t="s">
        <v>154</v>
      </c>
      <c r="E377" s="229">
        <v>1500</v>
      </c>
      <c r="F377" s="229">
        <f t="shared" si="48"/>
        <v>-100</v>
      </c>
      <c r="G377" s="229">
        <v>1400</v>
      </c>
      <c r="H377" s="241">
        <f t="shared" si="47"/>
        <v>93.33333333333333</v>
      </c>
      <c r="I377" s="149">
        <f t="shared" si="46"/>
        <v>0.010135379714761457</v>
      </c>
      <c r="J377" s="229">
        <v>1400</v>
      </c>
      <c r="K377" s="229">
        <v>1500</v>
      </c>
      <c r="L377" s="172"/>
    </row>
    <row r="378" spans="1:12" ht="12.75">
      <c r="A378" s="146" t="s">
        <v>59</v>
      </c>
      <c r="B378" s="24"/>
      <c r="C378" s="79">
        <v>412900</v>
      </c>
      <c r="D378" s="34" t="s">
        <v>156</v>
      </c>
      <c r="E378" s="229">
        <v>6500</v>
      </c>
      <c r="F378" s="229">
        <f t="shared" si="48"/>
        <v>4600</v>
      </c>
      <c r="G378" s="229">
        <v>11100</v>
      </c>
      <c r="H378" s="241">
        <f t="shared" si="47"/>
        <v>170.76923076923077</v>
      </c>
      <c r="I378" s="149">
        <f t="shared" si="46"/>
        <v>0.08035908202418011</v>
      </c>
      <c r="J378" s="229">
        <v>11100</v>
      </c>
      <c r="K378" s="229">
        <v>11100</v>
      </c>
      <c r="L378" s="172"/>
    </row>
    <row r="379" spans="1:11" ht="36" customHeight="1">
      <c r="A379" s="146" t="s">
        <v>59</v>
      </c>
      <c r="B379" s="24"/>
      <c r="C379" s="79">
        <v>412900</v>
      </c>
      <c r="D379" s="31" t="s">
        <v>515</v>
      </c>
      <c r="E379" s="229">
        <v>4900</v>
      </c>
      <c r="F379" s="229">
        <f t="shared" si="48"/>
        <v>-1062.83</v>
      </c>
      <c r="G379" s="211">
        <v>3837.17</v>
      </c>
      <c r="H379" s="241">
        <f t="shared" si="47"/>
        <v>78.3095918367347</v>
      </c>
      <c r="I379" s="149">
        <f t="shared" si="46"/>
        <v>0.027779410700065156</v>
      </c>
      <c r="J379" s="211">
        <v>3837.17</v>
      </c>
      <c r="K379" s="211">
        <v>3871.98</v>
      </c>
    </row>
    <row r="380" spans="1:11" ht="14.25" customHeight="1">
      <c r="A380" s="146"/>
      <c r="B380" s="34">
        <v>511000</v>
      </c>
      <c r="C380" s="18"/>
      <c r="D380" s="33" t="s">
        <v>165</v>
      </c>
      <c r="E380" s="214">
        <f>SUM(E381)</f>
        <v>5000</v>
      </c>
      <c r="F380" s="214">
        <f>SUM(F381)</f>
        <v>-200</v>
      </c>
      <c r="G380" s="214">
        <f>SUM(G381)</f>
        <v>4800</v>
      </c>
      <c r="H380" s="214">
        <f t="shared" si="47"/>
        <v>96</v>
      </c>
      <c r="I380" s="147">
        <f t="shared" si="46"/>
        <v>0.034749873307753566</v>
      </c>
      <c r="J380" s="214">
        <f>SUM(J381)</f>
        <v>4800</v>
      </c>
      <c r="K380" s="214">
        <f>SUM(K381)</f>
        <v>5000</v>
      </c>
    </row>
    <row r="381" spans="1:11" ht="12" customHeight="1">
      <c r="A381" s="146" t="s">
        <v>59</v>
      </c>
      <c r="B381" s="34"/>
      <c r="C381" s="18">
        <v>511300</v>
      </c>
      <c r="D381" s="34" t="s">
        <v>2</v>
      </c>
      <c r="E381" s="229">
        <v>5000</v>
      </c>
      <c r="F381" s="229">
        <f>G381-E381</f>
        <v>-200</v>
      </c>
      <c r="G381" s="229">
        <v>4800</v>
      </c>
      <c r="H381" s="241">
        <f t="shared" si="47"/>
        <v>96</v>
      </c>
      <c r="I381" s="149">
        <f t="shared" si="46"/>
        <v>0.034749873307753566</v>
      </c>
      <c r="J381" s="229">
        <v>4800</v>
      </c>
      <c r="K381" s="229">
        <v>5000</v>
      </c>
    </row>
    <row r="382" spans="1:11" ht="24" customHeight="1">
      <c r="A382" s="146"/>
      <c r="B382" s="34">
        <v>516000</v>
      </c>
      <c r="C382" s="18"/>
      <c r="D382" s="60" t="s">
        <v>382</v>
      </c>
      <c r="E382" s="214">
        <f>SUM(E383)</f>
        <v>2000</v>
      </c>
      <c r="F382" s="214">
        <f>SUM(F383:F384)</f>
        <v>1850</v>
      </c>
      <c r="G382" s="214">
        <f>SUM(G383:G384)</f>
        <v>3850</v>
      </c>
      <c r="H382" s="214">
        <f t="shared" si="47"/>
        <v>192.5</v>
      </c>
      <c r="I382" s="147">
        <f t="shared" si="46"/>
        <v>0.027872294215594003</v>
      </c>
      <c r="J382" s="214">
        <f>SUM(J383:J384)</f>
        <v>3850</v>
      </c>
      <c r="K382" s="214">
        <f>SUM(K383:K384)</f>
        <v>1350</v>
      </c>
    </row>
    <row r="383" spans="1:11" ht="15.75" customHeight="1">
      <c r="A383" s="146" t="s">
        <v>59</v>
      </c>
      <c r="B383" s="34"/>
      <c r="C383" s="18">
        <v>516100</v>
      </c>
      <c r="D383" s="34" t="s">
        <v>361</v>
      </c>
      <c r="E383" s="229">
        <v>2000</v>
      </c>
      <c r="F383" s="229">
        <f>G383-E383</f>
        <v>-650</v>
      </c>
      <c r="G383" s="229">
        <v>1350</v>
      </c>
      <c r="H383" s="241">
        <f t="shared" si="47"/>
        <v>67.5</v>
      </c>
      <c r="I383" s="149">
        <f t="shared" si="46"/>
        <v>0.00977340186780569</v>
      </c>
      <c r="J383" s="229">
        <v>1350</v>
      </c>
      <c r="K383" s="229">
        <v>1350</v>
      </c>
    </row>
    <row r="384" spans="1:11" ht="15.75" customHeight="1">
      <c r="A384" s="146" t="s">
        <v>59</v>
      </c>
      <c r="B384" s="34"/>
      <c r="C384" s="18">
        <v>516100</v>
      </c>
      <c r="D384" s="34" t="s">
        <v>527</v>
      </c>
      <c r="E384" s="229">
        <v>0</v>
      </c>
      <c r="F384" s="229">
        <f>G384-E384</f>
        <v>2500</v>
      </c>
      <c r="G384" s="229">
        <v>2500</v>
      </c>
      <c r="H384" s="241" t="e">
        <f t="shared" si="47"/>
        <v>#DIV/0!</v>
      </c>
      <c r="I384" s="149">
        <f t="shared" si="46"/>
        <v>0.018098892347788314</v>
      </c>
      <c r="J384" s="229">
        <v>2500</v>
      </c>
      <c r="K384" s="229">
        <v>0</v>
      </c>
    </row>
    <row r="385" spans="1:11" ht="21" customHeight="1">
      <c r="A385" s="146"/>
      <c r="B385" s="24">
        <v>638000</v>
      </c>
      <c r="C385" s="18"/>
      <c r="D385" s="33" t="s">
        <v>422</v>
      </c>
      <c r="E385" s="64">
        <f>SUM(E386)</f>
        <v>7000</v>
      </c>
      <c r="F385" s="64">
        <f>SUM(F386)</f>
        <v>3715</v>
      </c>
      <c r="G385" s="64">
        <f>SUM(G386)</f>
        <v>10715</v>
      </c>
      <c r="H385" s="214">
        <f t="shared" si="47"/>
        <v>153.07142857142856</v>
      </c>
      <c r="I385" s="147">
        <f t="shared" si="46"/>
        <v>0.07757185260262071</v>
      </c>
      <c r="J385" s="64">
        <f>SUM(J386)</f>
        <v>10715</v>
      </c>
      <c r="K385" s="64">
        <f>SUM(K386)</f>
        <v>10715</v>
      </c>
    </row>
    <row r="386" spans="1:11" ht="37.5" customHeight="1">
      <c r="A386" s="146"/>
      <c r="B386" s="34"/>
      <c r="C386" s="18">
        <v>638100</v>
      </c>
      <c r="D386" s="31" t="s">
        <v>423</v>
      </c>
      <c r="E386" s="229">
        <v>7000</v>
      </c>
      <c r="F386" s="229">
        <f>G386-E386</f>
        <v>3715</v>
      </c>
      <c r="G386" s="229">
        <v>10715</v>
      </c>
      <c r="H386" s="241">
        <f t="shared" si="47"/>
        <v>153.07142857142856</v>
      </c>
      <c r="I386" s="149">
        <f t="shared" si="46"/>
        <v>0.07757185260262071</v>
      </c>
      <c r="J386" s="229">
        <v>10715</v>
      </c>
      <c r="K386" s="229">
        <v>10715</v>
      </c>
    </row>
    <row r="387" spans="1:11" ht="25.5" customHeight="1">
      <c r="A387" s="513"/>
      <c r="B387" s="514"/>
      <c r="C387" s="505" t="s">
        <v>97</v>
      </c>
      <c r="D387" s="506"/>
      <c r="E387" s="72">
        <f>E365+E370+E380+E382+E385</f>
        <v>519900</v>
      </c>
      <c r="F387" s="72">
        <f>F365+F370+F380+F382+F385</f>
        <v>1811.67</v>
      </c>
      <c r="G387" s="72">
        <f>G365+G370+G380+G382+G385</f>
        <v>521711.67</v>
      </c>
      <c r="H387" s="380">
        <f t="shared" si="47"/>
        <v>100.34846508944027</v>
      </c>
      <c r="I387" s="148">
        <f t="shared" si="46"/>
        <v>3.776961340765945</v>
      </c>
      <c r="J387" s="72">
        <f>J365+J370+J380+J382+J385</f>
        <v>521711.67</v>
      </c>
      <c r="K387" s="72">
        <f>K365+K370+K380+K382+K385</f>
        <v>521104.48</v>
      </c>
    </row>
    <row r="388" spans="1:11" ht="39.75" customHeight="1">
      <c r="A388" s="513"/>
      <c r="B388" s="514"/>
      <c r="C388" s="541" t="s">
        <v>337</v>
      </c>
      <c r="D388" s="542"/>
      <c r="E388" s="204"/>
      <c r="F388" s="204"/>
      <c r="G388" s="204"/>
      <c r="H388" s="204"/>
      <c r="I388" s="288"/>
      <c r="J388" s="432" t="s">
        <v>526</v>
      </c>
      <c r="K388" s="431">
        <f>G387-K387</f>
        <v>607.1900000000023</v>
      </c>
    </row>
    <row r="389" spans="1:11" ht="14.25" customHeight="1">
      <c r="A389" s="146"/>
      <c r="B389" s="24">
        <v>412000</v>
      </c>
      <c r="C389" s="105"/>
      <c r="D389" s="33" t="s">
        <v>147</v>
      </c>
      <c r="E389" s="214">
        <f>SUM(E390:E394)</f>
        <v>8700</v>
      </c>
      <c r="F389" s="214">
        <f>SUM(F390:F394)</f>
        <v>-130.5</v>
      </c>
      <c r="G389" s="214">
        <f>SUM(G390:G394)</f>
        <v>8569.5</v>
      </c>
      <c r="H389" s="214">
        <f>G389/E389*100</f>
        <v>98.5</v>
      </c>
      <c r="I389" s="147">
        <f aca="true" t="shared" si="49" ref="I389:I397">G389/$G$432*100</f>
        <v>0.06203938318974879</v>
      </c>
      <c r="J389" s="214">
        <f>SUM(J390:J394)</f>
        <v>8569.5</v>
      </c>
      <c r="K389" s="214">
        <f>SUM(K390:K394)</f>
        <v>8569.5</v>
      </c>
    </row>
    <row r="390" spans="1:12" ht="24" customHeight="1">
      <c r="A390" s="146" t="s">
        <v>37</v>
      </c>
      <c r="B390" s="34"/>
      <c r="C390" s="170">
        <v>412200</v>
      </c>
      <c r="D390" s="31" t="s">
        <v>149</v>
      </c>
      <c r="E390" s="211">
        <v>3300</v>
      </c>
      <c r="F390" s="211">
        <f>G390-E390</f>
        <v>-50</v>
      </c>
      <c r="G390" s="211">
        <v>3250</v>
      </c>
      <c r="H390" s="241">
        <f aca="true" t="shared" si="50" ref="H390:H397">G390/E390*100</f>
        <v>98.48484848484848</v>
      </c>
      <c r="I390" s="149">
        <f t="shared" si="49"/>
        <v>0.023528560052124812</v>
      </c>
      <c r="J390" s="211">
        <v>3250</v>
      </c>
      <c r="K390" s="211">
        <v>3250</v>
      </c>
      <c r="L390" s="427"/>
    </row>
    <row r="391" spans="1:11" ht="12.75">
      <c r="A391" s="146" t="s">
        <v>37</v>
      </c>
      <c r="B391" s="34"/>
      <c r="C391" s="170">
        <v>412300</v>
      </c>
      <c r="D391" s="34" t="s">
        <v>150</v>
      </c>
      <c r="E391" s="229">
        <v>500</v>
      </c>
      <c r="F391" s="211">
        <f>G391-E391</f>
        <v>-7.5</v>
      </c>
      <c r="G391" s="229">
        <v>492.5</v>
      </c>
      <c r="H391" s="241">
        <f t="shared" si="50"/>
        <v>98.5</v>
      </c>
      <c r="I391" s="149">
        <f t="shared" si="49"/>
        <v>0.0035654817925142982</v>
      </c>
      <c r="J391" s="229">
        <v>492.5</v>
      </c>
      <c r="K391" s="229">
        <v>492.5</v>
      </c>
    </row>
    <row r="392" spans="1:11" ht="12.75">
      <c r="A392" s="146" t="s">
        <v>37</v>
      </c>
      <c r="B392" s="34"/>
      <c r="C392" s="170">
        <v>412500</v>
      </c>
      <c r="D392" s="34" t="s">
        <v>152</v>
      </c>
      <c r="E392" s="229">
        <v>1900</v>
      </c>
      <c r="F392" s="211">
        <f>G392-E392</f>
        <v>-28</v>
      </c>
      <c r="G392" s="229">
        <v>1872</v>
      </c>
      <c r="H392" s="241">
        <f t="shared" si="50"/>
        <v>98.52631578947368</v>
      </c>
      <c r="I392" s="149">
        <f t="shared" si="49"/>
        <v>0.01355245059002389</v>
      </c>
      <c r="J392" s="229">
        <v>1872</v>
      </c>
      <c r="K392" s="229">
        <v>1872</v>
      </c>
    </row>
    <row r="393" spans="1:11" ht="12.75">
      <c r="A393" s="146" t="s">
        <v>37</v>
      </c>
      <c r="B393" s="34"/>
      <c r="C393" s="170">
        <v>412700</v>
      </c>
      <c r="D393" s="79" t="s">
        <v>154</v>
      </c>
      <c r="E393" s="229">
        <v>2000</v>
      </c>
      <c r="F393" s="211">
        <f>G393-E393</f>
        <v>-30</v>
      </c>
      <c r="G393" s="229">
        <v>1970</v>
      </c>
      <c r="H393" s="241">
        <f t="shared" si="50"/>
        <v>98.5</v>
      </c>
      <c r="I393" s="149">
        <f t="shared" si="49"/>
        <v>0.014261927170057193</v>
      </c>
      <c r="J393" s="229">
        <v>1970</v>
      </c>
      <c r="K393" s="229">
        <v>1970</v>
      </c>
    </row>
    <row r="394" spans="1:11" ht="12.75">
      <c r="A394" s="146" t="s">
        <v>37</v>
      </c>
      <c r="B394" s="34"/>
      <c r="C394" s="170">
        <v>412900</v>
      </c>
      <c r="D394" s="79" t="s">
        <v>156</v>
      </c>
      <c r="E394" s="211">
        <v>1000</v>
      </c>
      <c r="F394" s="211">
        <f>G394-E394</f>
        <v>-15</v>
      </c>
      <c r="G394" s="211">
        <v>985</v>
      </c>
      <c r="H394" s="241">
        <f t="shared" si="50"/>
        <v>98.5</v>
      </c>
      <c r="I394" s="149">
        <f t="shared" si="49"/>
        <v>0.0071309635850285965</v>
      </c>
      <c r="J394" s="211">
        <v>985</v>
      </c>
      <c r="K394" s="211">
        <v>985</v>
      </c>
    </row>
    <row r="395" spans="1:11" ht="12.75">
      <c r="A395" s="146"/>
      <c r="B395" s="24">
        <v>511000</v>
      </c>
      <c r="C395" s="106"/>
      <c r="D395" s="33" t="s">
        <v>165</v>
      </c>
      <c r="E395" s="214">
        <f>SUM(E396)</f>
        <v>700</v>
      </c>
      <c r="F395" s="214">
        <f>SUM(F396)</f>
        <v>-10.5</v>
      </c>
      <c r="G395" s="214">
        <f>SUM(G396)</f>
        <v>689.5</v>
      </c>
      <c r="H395" s="214">
        <f t="shared" si="50"/>
        <v>98.5</v>
      </c>
      <c r="I395" s="174">
        <f t="shared" si="49"/>
        <v>0.004991674509520017</v>
      </c>
      <c r="J395" s="214">
        <f>SUM(J396)</f>
        <v>689.5</v>
      </c>
      <c r="K395" s="214">
        <f>SUM(K396)</f>
        <v>689.5</v>
      </c>
    </row>
    <row r="396" spans="1:11" ht="12.75">
      <c r="A396" s="146" t="s">
        <v>37</v>
      </c>
      <c r="B396" s="34"/>
      <c r="C396" s="170">
        <v>511300</v>
      </c>
      <c r="D396" s="34" t="s">
        <v>2</v>
      </c>
      <c r="E396" s="213">
        <v>700</v>
      </c>
      <c r="F396" s="213">
        <f>G396-E396</f>
        <v>-10.5</v>
      </c>
      <c r="G396" s="213">
        <v>689.5</v>
      </c>
      <c r="H396" s="379">
        <f t="shared" si="50"/>
        <v>98.5</v>
      </c>
      <c r="I396" s="169">
        <f t="shared" si="49"/>
        <v>0.004991674509520017</v>
      </c>
      <c r="J396" s="213">
        <v>689.5</v>
      </c>
      <c r="K396" s="213">
        <v>689.5</v>
      </c>
    </row>
    <row r="397" spans="1:11" ht="30" customHeight="1">
      <c r="A397" s="513"/>
      <c r="B397" s="514"/>
      <c r="C397" s="505" t="s">
        <v>338</v>
      </c>
      <c r="D397" s="505"/>
      <c r="E397" s="67">
        <f>E389+E395</f>
        <v>9400</v>
      </c>
      <c r="F397" s="67">
        <f>F389+F395</f>
        <v>-141</v>
      </c>
      <c r="G397" s="67">
        <f>G389+G395</f>
        <v>9259</v>
      </c>
      <c r="H397" s="380">
        <f t="shared" si="50"/>
        <v>98.5</v>
      </c>
      <c r="I397" s="148">
        <f t="shared" si="49"/>
        <v>0.0670310576992688</v>
      </c>
      <c r="J397" s="67">
        <f>J389+J395</f>
        <v>9259</v>
      </c>
      <c r="K397" s="67">
        <f>K389+K395</f>
        <v>9259</v>
      </c>
    </row>
    <row r="398" spans="1:11" ht="19.5" customHeight="1">
      <c r="A398" s="507"/>
      <c r="B398" s="508"/>
      <c r="C398" s="503" t="s">
        <v>303</v>
      </c>
      <c r="D398" s="538"/>
      <c r="E398" s="198"/>
      <c r="F398" s="198"/>
      <c r="G398" s="198"/>
      <c r="H398" s="198"/>
      <c r="I398" s="282"/>
      <c r="J398" s="429" t="s">
        <v>526</v>
      </c>
      <c r="K398" s="198">
        <f>G397-K397</f>
        <v>0</v>
      </c>
    </row>
    <row r="399" spans="1:11" ht="16.5" customHeight="1">
      <c r="A399" s="511"/>
      <c r="B399" s="512"/>
      <c r="C399" s="538"/>
      <c r="D399" s="538"/>
      <c r="E399" s="200"/>
      <c r="F399" s="200"/>
      <c r="G399" s="200"/>
      <c r="H399" s="200"/>
      <c r="I399" s="284"/>
      <c r="K399" s="200"/>
    </row>
    <row r="400" spans="1:12" ht="14.25" customHeight="1">
      <c r="A400" s="29"/>
      <c r="B400" s="24">
        <v>412000</v>
      </c>
      <c r="C400" s="18"/>
      <c r="D400" s="33" t="s">
        <v>147</v>
      </c>
      <c r="E400" s="214">
        <f>SUM(E401:E401)</f>
        <v>6000</v>
      </c>
      <c r="F400" s="214">
        <f>SUM(F401:F401)</f>
        <v>-5550</v>
      </c>
      <c r="G400" s="214">
        <f>SUM(G401:G401)</f>
        <v>450</v>
      </c>
      <c r="H400" s="214">
        <f>G400/E400*100</f>
        <v>7.5</v>
      </c>
      <c r="I400" s="147">
        <f aca="true" t="shared" si="51" ref="I400:I415">G400/$G$432*100</f>
        <v>0.0032578006226018966</v>
      </c>
      <c r="J400" s="214">
        <f>SUM(J401:J401)</f>
        <v>450</v>
      </c>
      <c r="K400" s="214">
        <f>SUM(K401:K401)</f>
        <v>100</v>
      </c>
      <c r="L400" s="172"/>
    </row>
    <row r="401" spans="1:16" ht="39.75" customHeight="1">
      <c r="A401" s="146" t="s">
        <v>28</v>
      </c>
      <c r="B401" s="24"/>
      <c r="C401" s="31">
        <v>412900</v>
      </c>
      <c r="D401" s="35" t="s">
        <v>519</v>
      </c>
      <c r="E401" s="229">
        <v>6000</v>
      </c>
      <c r="F401" s="229">
        <f>G401-E401</f>
        <v>-5550</v>
      </c>
      <c r="G401" s="229">
        <v>450</v>
      </c>
      <c r="H401" s="241">
        <f aca="true" t="shared" si="52" ref="H401:H427">G401/E401*100</f>
        <v>7.5</v>
      </c>
      <c r="I401" s="149">
        <f t="shared" si="51"/>
        <v>0.0032578006226018966</v>
      </c>
      <c r="J401" s="229">
        <v>450</v>
      </c>
      <c r="K401" s="229">
        <v>100</v>
      </c>
      <c r="L401" s="172"/>
      <c r="P401" s="172"/>
    </row>
    <row r="402" spans="1:12" ht="23.25" customHeight="1">
      <c r="A402" s="146"/>
      <c r="B402" s="24">
        <v>413000</v>
      </c>
      <c r="C402" s="31"/>
      <c r="D402" s="60" t="s">
        <v>157</v>
      </c>
      <c r="E402" s="214">
        <f>E403+E410</f>
        <v>389500</v>
      </c>
      <c r="F402" s="214">
        <f>F403+F410</f>
        <v>-13675</v>
      </c>
      <c r="G402" s="214">
        <f>G403+G410</f>
        <v>375825</v>
      </c>
      <c r="H402" s="214">
        <f t="shared" si="52"/>
        <v>96.48908857509628</v>
      </c>
      <c r="I402" s="174">
        <f t="shared" si="51"/>
        <v>2.7208064866430175</v>
      </c>
      <c r="J402" s="214">
        <f>J403+J410</f>
        <v>375825</v>
      </c>
      <c r="K402" s="214">
        <f>K403+K410</f>
        <v>375825</v>
      </c>
      <c r="L402" s="172"/>
    </row>
    <row r="403" spans="1:12" ht="24" customHeight="1">
      <c r="A403" s="146"/>
      <c r="B403" s="24"/>
      <c r="C403" s="60"/>
      <c r="D403" s="60" t="s">
        <v>158</v>
      </c>
      <c r="E403" s="298">
        <f>SUM(E404:E409)</f>
        <v>385500</v>
      </c>
      <c r="F403" s="298">
        <f>SUM(F404:F409)</f>
        <v>-13675</v>
      </c>
      <c r="G403" s="298">
        <f>SUM(G404:G409)</f>
        <v>371825</v>
      </c>
      <c r="H403" s="384">
        <f t="shared" si="52"/>
        <v>96.4526588845655</v>
      </c>
      <c r="I403" s="150">
        <f t="shared" si="51"/>
        <v>2.691848258886556</v>
      </c>
      <c r="J403" s="298">
        <f>SUM(J404:J409)</f>
        <v>371825</v>
      </c>
      <c r="K403" s="298">
        <f>SUM(K404:K409)</f>
        <v>371825</v>
      </c>
      <c r="L403" s="172"/>
    </row>
    <row r="404" spans="1:12" ht="12.75" customHeight="1">
      <c r="A404" s="146" t="s">
        <v>61</v>
      </c>
      <c r="B404" s="34"/>
      <c r="C404" s="38">
        <v>413300</v>
      </c>
      <c r="D404" s="31" t="s">
        <v>136</v>
      </c>
      <c r="E404" s="229">
        <v>22000</v>
      </c>
      <c r="F404" s="229">
        <f aca="true" t="shared" si="53" ref="F404:F409">G404-E404</f>
        <v>-2400</v>
      </c>
      <c r="G404" s="229">
        <v>19600</v>
      </c>
      <c r="H404" s="241">
        <f t="shared" si="52"/>
        <v>89.0909090909091</v>
      </c>
      <c r="I404" s="149">
        <f t="shared" si="51"/>
        <v>0.1418953160066604</v>
      </c>
      <c r="J404" s="229">
        <v>19600</v>
      </c>
      <c r="K404" s="229">
        <v>19600</v>
      </c>
      <c r="L404" s="172"/>
    </row>
    <row r="405" spans="1:12" ht="12.75" customHeight="1">
      <c r="A405" s="146" t="s">
        <v>61</v>
      </c>
      <c r="B405" s="34"/>
      <c r="C405" s="38">
        <v>413300</v>
      </c>
      <c r="D405" s="31" t="s">
        <v>137</v>
      </c>
      <c r="E405" s="229">
        <v>136000</v>
      </c>
      <c r="F405" s="229">
        <f t="shared" si="53"/>
        <v>-4200</v>
      </c>
      <c r="G405" s="229">
        <v>131800</v>
      </c>
      <c r="H405" s="241">
        <f t="shared" si="52"/>
        <v>96.91176470588235</v>
      </c>
      <c r="I405" s="149">
        <f t="shared" si="51"/>
        <v>0.9541736045754</v>
      </c>
      <c r="J405" s="229">
        <v>131800</v>
      </c>
      <c r="K405" s="229">
        <v>131800</v>
      </c>
      <c r="L405" s="172"/>
    </row>
    <row r="406" spans="1:12" ht="12.75" customHeight="1">
      <c r="A406" s="146" t="s">
        <v>61</v>
      </c>
      <c r="B406" s="34"/>
      <c r="C406" s="38">
        <v>413300</v>
      </c>
      <c r="D406" s="31" t="s">
        <v>139</v>
      </c>
      <c r="E406" s="229">
        <v>71000</v>
      </c>
      <c r="F406" s="229">
        <f t="shared" si="53"/>
        <v>-550</v>
      </c>
      <c r="G406" s="229">
        <v>70450</v>
      </c>
      <c r="H406" s="241">
        <f t="shared" si="52"/>
        <v>99.22535211267606</v>
      </c>
      <c r="I406" s="149">
        <f t="shared" si="51"/>
        <v>0.5100267863606747</v>
      </c>
      <c r="J406" s="229">
        <v>70450</v>
      </c>
      <c r="K406" s="229">
        <v>70450</v>
      </c>
      <c r="L406" s="172"/>
    </row>
    <row r="407" spans="1:12" ht="12.75" customHeight="1">
      <c r="A407" s="146" t="s">
        <v>61</v>
      </c>
      <c r="B407" s="34"/>
      <c r="C407" s="38">
        <v>413300</v>
      </c>
      <c r="D407" s="31" t="s">
        <v>138</v>
      </c>
      <c r="E407" s="229">
        <v>13500</v>
      </c>
      <c r="F407" s="229">
        <f t="shared" si="53"/>
        <v>-775</v>
      </c>
      <c r="G407" s="229">
        <v>12725</v>
      </c>
      <c r="H407" s="241">
        <f t="shared" si="52"/>
        <v>94.25925925925925</v>
      </c>
      <c r="I407" s="149">
        <f t="shared" si="51"/>
        <v>0.09212336205024253</v>
      </c>
      <c r="J407" s="229">
        <v>12725</v>
      </c>
      <c r="K407" s="229">
        <v>12725</v>
      </c>
      <c r="L407" s="172"/>
    </row>
    <row r="408" spans="1:12" ht="12.75" customHeight="1">
      <c r="A408" s="146" t="s">
        <v>61</v>
      </c>
      <c r="B408" s="34"/>
      <c r="C408" s="38">
        <v>413300</v>
      </c>
      <c r="D408" s="31" t="s">
        <v>285</v>
      </c>
      <c r="E408" s="229">
        <v>130000</v>
      </c>
      <c r="F408" s="229">
        <f t="shared" si="53"/>
        <v>-5500</v>
      </c>
      <c r="G408" s="229">
        <v>124500</v>
      </c>
      <c r="H408" s="241">
        <f t="shared" si="52"/>
        <v>95.76923076923077</v>
      </c>
      <c r="I408" s="149">
        <f t="shared" si="51"/>
        <v>0.9013248389198582</v>
      </c>
      <c r="J408" s="229">
        <v>124500</v>
      </c>
      <c r="K408" s="229">
        <v>124500</v>
      </c>
      <c r="L408" s="172"/>
    </row>
    <row r="409" spans="1:12" ht="12.75" customHeight="1">
      <c r="A409" s="146" t="s">
        <v>61</v>
      </c>
      <c r="B409" s="34"/>
      <c r="C409" s="38">
        <v>413300</v>
      </c>
      <c r="D409" s="31" t="s">
        <v>392</v>
      </c>
      <c r="E409" s="229">
        <v>13000</v>
      </c>
      <c r="F409" s="229">
        <f t="shared" si="53"/>
        <v>-250</v>
      </c>
      <c r="G409" s="229">
        <v>12750</v>
      </c>
      <c r="H409" s="241">
        <f t="shared" si="52"/>
        <v>98.07692307692307</v>
      </c>
      <c r="I409" s="149">
        <f t="shared" si="51"/>
        <v>0.0923043509737204</v>
      </c>
      <c r="J409" s="229">
        <v>12750</v>
      </c>
      <c r="K409" s="229">
        <v>12750</v>
      </c>
      <c r="L409" s="172"/>
    </row>
    <row r="410" spans="1:12" ht="21.75" customHeight="1">
      <c r="A410" s="146"/>
      <c r="B410" s="24"/>
      <c r="C410" s="36"/>
      <c r="D410" s="33" t="s">
        <v>159</v>
      </c>
      <c r="E410" s="298">
        <f>E411</f>
        <v>4000</v>
      </c>
      <c r="F410" s="298">
        <f>F411</f>
        <v>0</v>
      </c>
      <c r="G410" s="298">
        <f>G411</f>
        <v>4000</v>
      </c>
      <c r="H410" s="384">
        <f t="shared" si="52"/>
        <v>100</v>
      </c>
      <c r="I410" s="150">
        <f t="shared" si="51"/>
        <v>0.028958227756461303</v>
      </c>
      <c r="J410" s="298">
        <f>J411</f>
        <v>4000</v>
      </c>
      <c r="K410" s="298">
        <f>K411</f>
        <v>4000</v>
      </c>
      <c r="L410" s="172"/>
    </row>
    <row r="411" spans="1:12" ht="22.5" customHeight="1">
      <c r="A411" s="146" t="s">
        <v>61</v>
      </c>
      <c r="B411" s="34"/>
      <c r="C411" s="18">
        <v>413400</v>
      </c>
      <c r="D411" s="31" t="s">
        <v>251</v>
      </c>
      <c r="E411" s="229">
        <v>4000</v>
      </c>
      <c r="F411" s="229">
        <f>G411-E411</f>
        <v>0</v>
      </c>
      <c r="G411" s="229">
        <v>4000</v>
      </c>
      <c r="H411" s="241">
        <f t="shared" si="52"/>
        <v>100</v>
      </c>
      <c r="I411" s="149">
        <f t="shared" si="51"/>
        <v>0.028958227756461303</v>
      </c>
      <c r="J411" s="229">
        <v>4000</v>
      </c>
      <c r="K411" s="229">
        <v>4000</v>
      </c>
      <c r="L411" s="172"/>
    </row>
    <row r="412" spans="1:12" ht="39" customHeight="1">
      <c r="A412" s="146"/>
      <c r="B412" s="24">
        <v>487000</v>
      </c>
      <c r="C412" s="18"/>
      <c r="D412" s="33" t="s">
        <v>518</v>
      </c>
      <c r="E412" s="421">
        <f>SUM(E413:E415)</f>
        <v>0</v>
      </c>
      <c r="F412" s="421">
        <f>SUM(F413:F415)</f>
        <v>4500</v>
      </c>
      <c r="G412" s="421">
        <f>SUM(G413:G415)</f>
        <v>4500</v>
      </c>
      <c r="H412" s="422" t="e">
        <f t="shared" si="52"/>
        <v>#DIV/0!</v>
      </c>
      <c r="I412" s="423">
        <f t="shared" si="51"/>
        <v>0.03257800622601897</v>
      </c>
      <c r="J412" s="421">
        <f>SUM(J413:J415)</f>
        <v>16800</v>
      </c>
      <c r="K412" s="421">
        <f>SUM(K413:K415)</f>
        <v>1940</v>
      </c>
      <c r="L412" s="172"/>
    </row>
    <row r="413" spans="1:12" ht="17.25" customHeight="1">
      <c r="A413" s="146" t="s">
        <v>28</v>
      </c>
      <c r="B413" s="24"/>
      <c r="C413" s="18">
        <v>487200</v>
      </c>
      <c r="D413" s="31" t="s">
        <v>506</v>
      </c>
      <c r="E413" s="229">
        <v>0</v>
      </c>
      <c r="F413" s="229">
        <f>G413-E413</f>
        <v>2000</v>
      </c>
      <c r="G413" s="229">
        <v>2000</v>
      </c>
      <c r="H413" s="241" t="e">
        <f t="shared" si="52"/>
        <v>#DIV/0!</v>
      </c>
      <c r="I413" s="149">
        <f t="shared" si="51"/>
        <v>0.014479113878230651</v>
      </c>
      <c r="J413" s="229">
        <v>13800</v>
      </c>
      <c r="K413" s="229">
        <v>990</v>
      </c>
      <c r="L413" s="427"/>
    </row>
    <row r="414" spans="1:12" ht="12.75">
      <c r="A414" s="146" t="s">
        <v>28</v>
      </c>
      <c r="B414" s="24"/>
      <c r="C414" s="18">
        <v>487300</v>
      </c>
      <c r="D414" s="31" t="s">
        <v>507</v>
      </c>
      <c r="E414" s="229">
        <v>0</v>
      </c>
      <c r="F414" s="229">
        <f>G414-E414</f>
        <v>2000</v>
      </c>
      <c r="G414" s="229">
        <v>2000</v>
      </c>
      <c r="H414" s="241" t="e">
        <f t="shared" si="52"/>
        <v>#DIV/0!</v>
      </c>
      <c r="I414" s="149">
        <f t="shared" si="51"/>
        <v>0.014479113878230651</v>
      </c>
      <c r="J414" s="229">
        <v>2000</v>
      </c>
      <c r="K414" s="229">
        <v>900</v>
      </c>
      <c r="L414" s="172"/>
    </row>
    <row r="415" spans="1:12" ht="24">
      <c r="A415" s="146" t="s">
        <v>28</v>
      </c>
      <c r="B415" s="24"/>
      <c r="C415" s="18">
        <v>487400</v>
      </c>
      <c r="D415" s="31" t="s">
        <v>428</v>
      </c>
      <c r="E415" s="229">
        <v>0</v>
      </c>
      <c r="F415" s="229">
        <f>G415-E415</f>
        <v>500</v>
      </c>
      <c r="G415" s="229">
        <v>500</v>
      </c>
      <c r="H415" s="241" t="e">
        <f t="shared" si="52"/>
        <v>#DIV/0!</v>
      </c>
      <c r="I415" s="149">
        <f t="shared" si="51"/>
        <v>0.003619778469557663</v>
      </c>
      <c r="J415" s="229">
        <v>1000</v>
      </c>
      <c r="K415" s="229">
        <v>50</v>
      </c>
      <c r="L415" s="172"/>
    </row>
    <row r="416" spans="1:12" ht="14.25" customHeight="1">
      <c r="A416" s="146"/>
      <c r="B416" s="63">
        <v>621000</v>
      </c>
      <c r="C416" s="18"/>
      <c r="D416" s="33" t="s">
        <v>169</v>
      </c>
      <c r="E416" s="64">
        <f>SUM(E417:E421)</f>
        <v>656500</v>
      </c>
      <c r="F416" s="64">
        <f>SUM(F417:F421)</f>
        <v>-29075</v>
      </c>
      <c r="G416" s="64">
        <f>SUM(G417:G421)</f>
        <v>627425</v>
      </c>
      <c r="H416" s="214">
        <f t="shared" si="52"/>
        <v>95.57121096725058</v>
      </c>
      <c r="I416" s="147">
        <f aca="true" t="shared" si="54" ref="I416:I427">G416/$G$432*100</f>
        <v>4.542279012524434</v>
      </c>
      <c r="J416" s="64">
        <f>SUM(J417:J421)</f>
        <v>627425</v>
      </c>
      <c r="K416" s="64">
        <f>SUM(K417:K421)</f>
        <v>627425</v>
      </c>
      <c r="L416" s="172"/>
    </row>
    <row r="417" spans="1:12" ht="12.75">
      <c r="A417" s="146"/>
      <c r="B417" s="34"/>
      <c r="C417" s="39">
        <v>621300</v>
      </c>
      <c r="D417" s="35" t="s">
        <v>140</v>
      </c>
      <c r="E417" s="229">
        <v>334500</v>
      </c>
      <c r="F417" s="229">
        <f>G417-E417</f>
        <v>-275</v>
      </c>
      <c r="G417" s="229">
        <v>334225</v>
      </c>
      <c r="H417" s="241">
        <f t="shared" si="52"/>
        <v>99.91778774289986</v>
      </c>
      <c r="I417" s="149">
        <f t="shared" si="54"/>
        <v>2.41964091797582</v>
      </c>
      <c r="J417" s="229">
        <v>334225</v>
      </c>
      <c r="K417" s="229">
        <v>334225</v>
      </c>
      <c r="L417" s="172"/>
    </row>
    <row r="418" spans="1:12" ht="12.75">
      <c r="A418" s="146"/>
      <c r="B418" s="34"/>
      <c r="C418" s="39">
        <v>621300</v>
      </c>
      <c r="D418" s="35" t="s">
        <v>141</v>
      </c>
      <c r="E418" s="229">
        <v>57000</v>
      </c>
      <c r="F418" s="229">
        <f>G418-E418</f>
        <v>-150</v>
      </c>
      <c r="G418" s="229">
        <v>56850</v>
      </c>
      <c r="H418" s="241">
        <f t="shared" si="52"/>
        <v>99.73684210526315</v>
      </c>
      <c r="I418" s="149">
        <f t="shared" si="54"/>
        <v>0.4115688119887063</v>
      </c>
      <c r="J418" s="229">
        <v>56850</v>
      </c>
      <c r="K418" s="229">
        <v>56850</v>
      </c>
      <c r="L418" s="172"/>
    </row>
    <row r="419" spans="1:12" ht="12.75">
      <c r="A419" s="146"/>
      <c r="B419" s="77"/>
      <c r="C419" s="39">
        <v>621300</v>
      </c>
      <c r="D419" s="35" t="s">
        <v>286</v>
      </c>
      <c r="E419" s="229">
        <v>215000</v>
      </c>
      <c r="F419" s="229">
        <f>G419-E419</f>
        <v>-3400</v>
      </c>
      <c r="G419" s="229">
        <v>211600</v>
      </c>
      <c r="H419" s="241">
        <f t="shared" si="52"/>
        <v>98.4186046511628</v>
      </c>
      <c r="I419" s="171">
        <f t="shared" si="54"/>
        <v>1.531890248316803</v>
      </c>
      <c r="J419" s="229">
        <v>211600</v>
      </c>
      <c r="K419" s="229">
        <v>211600</v>
      </c>
      <c r="L419" s="172"/>
    </row>
    <row r="420" spans="1:12" ht="12.75">
      <c r="A420" s="146"/>
      <c r="B420" s="77"/>
      <c r="C420" s="39">
        <v>621300</v>
      </c>
      <c r="D420" s="35" t="s">
        <v>393</v>
      </c>
      <c r="E420" s="229">
        <v>25000</v>
      </c>
      <c r="F420" s="229">
        <f>G420-E420</f>
        <v>-250</v>
      </c>
      <c r="G420" s="229">
        <v>24750</v>
      </c>
      <c r="H420" s="241">
        <f t="shared" si="52"/>
        <v>99</v>
      </c>
      <c r="I420" s="171">
        <f t="shared" si="54"/>
        <v>0.17917903424310433</v>
      </c>
      <c r="J420" s="229">
        <v>24750</v>
      </c>
      <c r="K420" s="229">
        <v>24750</v>
      </c>
      <c r="L420" s="172"/>
    </row>
    <row r="421" spans="1:12" ht="24">
      <c r="A421" s="146"/>
      <c r="B421" s="77"/>
      <c r="C421" s="39">
        <v>621900</v>
      </c>
      <c r="D421" s="35" t="s">
        <v>390</v>
      </c>
      <c r="E421" s="211">
        <v>25000</v>
      </c>
      <c r="F421" s="229">
        <f>G421-E421</f>
        <v>-25000</v>
      </c>
      <c r="G421" s="211">
        <v>0</v>
      </c>
      <c r="H421" s="241">
        <f t="shared" si="52"/>
        <v>0</v>
      </c>
      <c r="I421" s="171">
        <f t="shared" si="54"/>
        <v>0</v>
      </c>
      <c r="J421" s="211">
        <v>0</v>
      </c>
      <c r="K421" s="211">
        <v>0</v>
      </c>
      <c r="L421" s="172"/>
    </row>
    <row r="422" spans="1:12" ht="12.75">
      <c r="A422" s="146"/>
      <c r="B422" s="63">
        <v>631000</v>
      </c>
      <c r="C422" s="39"/>
      <c r="D422" s="33" t="s">
        <v>415</v>
      </c>
      <c r="E422" s="64">
        <f>SUM(E424)</f>
        <v>517000</v>
      </c>
      <c r="F422" s="64">
        <f>SUM(F423:F424)</f>
        <v>10000</v>
      </c>
      <c r="G422" s="64">
        <f>SUM(G423:G424)</f>
        <v>527000</v>
      </c>
      <c r="H422" s="422">
        <f t="shared" si="52"/>
        <v>101.93423597678917</v>
      </c>
      <c r="I422" s="147">
        <f t="shared" si="54"/>
        <v>3.815246506913777</v>
      </c>
      <c r="J422" s="64">
        <f>SUM(J423:J424)</f>
        <v>522000</v>
      </c>
      <c r="K422" s="64">
        <f>SUM(K423:K424)</f>
        <v>521500</v>
      </c>
      <c r="L422" s="172"/>
    </row>
    <row r="423" spans="1:12" ht="24">
      <c r="A423" s="146"/>
      <c r="B423" s="63"/>
      <c r="C423" s="39">
        <v>631900</v>
      </c>
      <c r="D423" s="31" t="s">
        <v>516</v>
      </c>
      <c r="E423" s="241">
        <v>0</v>
      </c>
      <c r="F423" s="379">
        <f>G423-E423</f>
        <v>10000</v>
      </c>
      <c r="G423" s="241">
        <v>10000</v>
      </c>
      <c r="H423" s="241" t="e">
        <f t="shared" si="52"/>
        <v>#DIV/0!</v>
      </c>
      <c r="I423" s="419">
        <f t="shared" si="54"/>
        <v>0.07239556939115326</v>
      </c>
      <c r="J423" s="241">
        <v>5000</v>
      </c>
      <c r="K423" s="241">
        <v>4500</v>
      </c>
      <c r="L423" s="172"/>
    </row>
    <row r="424" spans="1:12" ht="24.75" customHeight="1">
      <c r="A424" s="146"/>
      <c r="B424" s="77"/>
      <c r="C424" s="39">
        <v>631900</v>
      </c>
      <c r="D424" s="35" t="s">
        <v>372</v>
      </c>
      <c r="E424" s="211">
        <v>517000</v>
      </c>
      <c r="F424" s="379">
        <f>G424-E424</f>
        <v>0</v>
      </c>
      <c r="G424" s="322">
        <v>517000</v>
      </c>
      <c r="H424" s="241">
        <f t="shared" si="52"/>
        <v>100</v>
      </c>
      <c r="I424" s="419">
        <f t="shared" si="54"/>
        <v>3.7428509375226238</v>
      </c>
      <c r="J424" s="322">
        <v>517000</v>
      </c>
      <c r="K424" s="322">
        <v>517000</v>
      </c>
      <c r="L424" s="172"/>
    </row>
    <row r="425" spans="1:12" ht="24.75" customHeight="1">
      <c r="A425" s="146"/>
      <c r="B425" s="77">
        <v>638000</v>
      </c>
      <c r="C425" s="39"/>
      <c r="D425" s="47" t="s">
        <v>517</v>
      </c>
      <c r="E425" s="420">
        <f>SUM(E426)</f>
        <v>0</v>
      </c>
      <c r="F425" s="420">
        <f>SUM(F426)</f>
        <v>1500</v>
      </c>
      <c r="G425" s="420">
        <f>SUM(G426)</f>
        <v>1500</v>
      </c>
      <c r="H425" s="422" t="e">
        <f t="shared" si="52"/>
        <v>#DIV/0!</v>
      </c>
      <c r="I425" s="147">
        <f t="shared" si="54"/>
        <v>0.010859335408672989</v>
      </c>
      <c r="J425" s="420">
        <f>SUM(J426)</f>
        <v>1500</v>
      </c>
      <c r="K425" s="420">
        <f>SUM(K426)</f>
        <v>610</v>
      </c>
      <c r="L425" s="172"/>
    </row>
    <row r="426" spans="1:12" ht="24.75" customHeight="1">
      <c r="A426" s="146"/>
      <c r="B426" s="77"/>
      <c r="C426" s="39">
        <v>638100</v>
      </c>
      <c r="D426" s="35" t="s">
        <v>520</v>
      </c>
      <c r="E426" s="211">
        <v>0</v>
      </c>
      <c r="F426" s="211">
        <f>G426-E426</f>
        <v>1500</v>
      </c>
      <c r="G426" s="211">
        <v>1500</v>
      </c>
      <c r="H426" s="379" t="e">
        <f t="shared" si="52"/>
        <v>#DIV/0!</v>
      </c>
      <c r="I426" s="444">
        <f t="shared" si="54"/>
        <v>0.010859335408672989</v>
      </c>
      <c r="J426" s="211">
        <v>1500</v>
      </c>
      <c r="K426" s="211">
        <v>610</v>
      </c>
      <c r="L426" s="172"/>
    </row>
    <row r="427" spans="1:16" ht="27.75" customHeight="1">
      <c r="A427" s="536"/>
      <c r="B427" s="537"/>
      <c r="C427" s="505" t="s">
        <v>242</v>
      </c>
      <c r="D427" s="505"/>
      <c r="E427" s="72">
        <f>E400+E402+E412+E416+E422+E425</f>
        <v>1569000</v>
      </c>
      <c r="F427" s="72">
        <f>F400+F402+F412+F416+F422+F425</f>
        <v>-32300</v>
      </c>
      <c r="G427" s="72">
        <f>G400+G402+G412+G416+G422+G425</f>
        <v>1536700</v>
      </c>
      <c r="H427" s="380">
        <f t="shared" si="52"/>
        <v>97.94136392606757</v>
      </c>
      <c r="I427" s="148">
        <f t="shared" si="54"/>
        <v>11.125027148338521</v>
      </c>
      <c r="J427" s="72">
        <f>J400+J402+J412+J416+J422+J425</f>
        <v>1544000</v>
      </c>
      <c r="K427" s="72">
        <f>K400+K402+K412+K416+K422+K425</f>
        <v>1527400</v>
      </c>
      <c r="L427" s="172"/>
      <c r="P427" s="172"/>
    </row>
    <row r="428" spans="1:12" ht="19.5" customHeight="1">
      <c r="A428" s="515"/>
      <c r="B428" s="516"/>
      <c r="C428" s="503" t="s">
        <v>206</v>
      </c>
      <c r="D428" s="538"/>
      <c r="E428" s="205"/>
      <c r="F428" s="205"/>
      <c r="G428" s="205"/>
      <c r="H428" s="205"/>
      <c r="I428" s="206"/>
      <c r="J428" s="432" t="s">
        <v>526</v>
      </c>
      <c r="K428" s="205">
        <f>G427-K427</f>
        <v>9300</v>
      </c>
      <c r="L428" s="172"/>
    </row>
    <row r="429" spans="1:11" ht="8.25" customHeight="1">
      <c r="A429" s="519"/>
      <c r="B429" s="520"/>
      <c r="C429" s="538"/>
      <c r="D429" s="538"/>
      <c r="E429" s="207"/>
      <c r="F429" s="207"/>
      <c r="G429" s="207"/>
      <c r="H429" s="207"/>
      <c r="I429" s="208"/>
      <c r="K429" s="207"/>
    </row>
    <row r="430" spans="1:11" ht="12.75" customHeight="1">
      <c r="A430" s="513"/>
      <c r="B430" s="514"/>
      <c r="C430" s="110" t="s">
        <v>224</v>
      </c>
      <c r="D430" s="89" t="s">
        <v>105</v>
      </c>
      <c r="E430" s="229">
        <v>160000</v>
      </c>
      <c r="F430" s="229">
        <f>G430-E430</f>
        <v>-146756.1</v>
      </c>
      <c r="G430" s="440">
        <v>13243.9</v>
      </c>
      <c r="H430" s="229">
        <f>G430/E430*100</f>
        <v>8.2774375</v>
      </c>
      <c r="I430" s="149">
        <f>G430/$G$432*100</f>
        <v>0.09587996814594946</v>
      </c>
      <c r="J430" s="229">
        <v>34960.5</v>
      </c>
      <c r="K430" s="229">
        <v>13243.9</v>
      </c>
    </row>
    <row r="431" spans="1:11" ht="25.5" customHeight="1">
      <c r="A431" s="513"/>
      <c r="B431" s="514"/>
      <c r="C431" s="505" t="s">
        <v>207</v>
      </c>
      <c r="D431" s="506"/>
      <c r="E431" s="72">
        <f>E430</f>
        <v>160000</v>
      </c>
      <c r="F431" s="72">
        <f>F430</f>
        <v>-146756.1</v>
      </c>
      <c r="G431" s="72">
        <f>G430</f>
        <v>13243.9</v>
      </c>
      <c r="H431" s="72">
        <f>G431/E431*100</f>
        <v>8.2774375</v>
      </c>
      <c r="I431" s="148">
        <f>G431/$G$432*100</f>
        <v>0.09587996814594946</v>
      </c>
      <c r="J431" s="72">
        <f>J430</f>
        <v>34960.5</v>
      </c>
      <c r="K431" s="72">
        <f>K430</f>
        <v>13243.9</v>
      </c>
    </row>
    <row r="432" spans="1:12" s="10" customFormat="1" ht="24" customHeight="1" thickBot="1">
      <c r="A432" s="534" t="s">
        <v>234</v>
      </c>
      <c r="B432" s="535"/>
      <c r="C432" s="532" t="s">
        <v>243</v>
      </c>
      <c r="D432" s="533"/>
      <c r="E432" s="74">
        <f>E20+E44+E59+E75+E121+E130+E165+E194+E204+E226+E246+E296+E317+E336+E361+E387+E264+E397+E427+E431</f>
        <v>13787500</v>
      </c>
      <c r="F432" s="74">
        <f>F20+F44+F59+F75+F121+F130+F165+F194+F204+F226+F246+F296+F317+F336+F361+F387+F264+F397+F427+F431</f>
        <v>25499.99999999997</v>
      </c>
      <c r="G432" s="74">
        <f>G20+G44+G59+G75+G121+G130+G165+G194+G204+G226+G246+G296+G317+G336+G361+G387+G264+G397+G427+G431</f>
        <v>13813000</v>
      </c>
      <c r="H432" s="383">
        <f>G432/E432*100</f>
        <v>100.18495013599275</v>
      </c>
      <c r="I432" s="365">
        <f>G432/$G$432*100</f>
        <v>100</v>
      </c>
      <c r="J432" s="74">
        <f>J20+J44+J59+J75+J121+J130+J165+J194+J204+J226+J246+J296+J317+J336+J361+J387+J264+J397+J427+J431</f>
        <v>13778193.29</v>
      </c>
      <c r="K432" s="74">
        <f>K20+K44+K59+K75+K121+K130+K165+K194+K204+K226+K246+K296+K317+K336+K361+K387+K264+K397+K427+K431</f>
        <v>13911317.58</v>
      </c>
      <c r="L432" s="439">
        <f>SUM(L8:L431)</f>
        <v>204033.21</v>
      </c>
    </row>
    <row r="433" spans="1:11" s="10" customFormat="1" ht="24" customHeight="1" thickTop="1">
      <c r="A433" s="299"/>
      <c r="B433" s="299"/>
      <c r="C433" s="307"/>
      <c r="D433" s="307"/>
      <c r="E433" s="308"/>
      <c r="F433" s="308"/>
      <c r="G433" s="308"/>
      <c r="H433" s="308"/>
      <c r="I433" s="309"/>
      <c r="J433" s="275"/>
      <c r="K433" s="428"/>
    </row>
    <row r="434" spans="4:13" ht="12.75">
      <c r="D434" s="240"/>
      <c r="E434" s="75"/>
      <c r="F434" s="75"/>
      <c r="G434" s="75"/>
      <c r="H434" s="75"/>
      <c r="I434" s="274"/>
      <c r="J434" s="429"/>
      <c r="K434" s="172"/>
      <c r="M434" s="172"/>
    </row>
    <row r="435" spans="4:11" ht="12.75" hidden="1">
      <c r="D435" s="240">
        <v>110</v>
      </c>
      <c r="E435" s="75"/>
      <c r="F435" s="75"/>
      <c r="G435" s="465">
        <f>G9+G11+G12+G13+G14+G15+G18</f>
        <v>273803.08999999997</v>
      </c>
      <c r="H435" s="75"/>
      <c r="I435" s="274"/>
      <c r="J435" s="433"/>
      <c r="K435" s="172"/>
    </row>
    <row r="436" spans="1:9" ht="12.75" hidden="1">
      <c r="A436" s="474"/>
      <c r="B436" s="474"/>
      <c r="C436" s="474"/>
      <c r="D436" s="475" t="s">
        <v>541</v>
      </c>
      <c r="E436" s="320"/>
      <c r="F436" s="320"/>
      <c r="G436" s="470">
        <f>G25+G27+G29+G31+G32+G33+G34+G36+G38+G40+G41+G42+G43</f>
        <v>274184</v>
      </c>
      <c r="H436" s="320"/>
      <c r="I436" s="274"/>
    </row>
    <row r="437" spans="1:11" ht="15" hidden="1">
      <c r="A437" s="272"/>
      <c r="B437" s="61"/>
      <c r="C437" s="61"/>
      <c r="D437" s="275">
        <v>130</v>
      </c>
      <c r="E437" s="273"/>
      <c r="F437" s="273"/>
      <c r="G437" s="202">
        <f>G49+G50+G51+G52+G53+G55+G56+G57</f>
        <v>59900</v>
      </c>
      <c r="H437" s="464"/>
      <c r="I437" s="464"/>
      <c r="J437" s="464"/>
      <c r="K437" s="435"/>
    </row>
    <row r="438" spans="1:10" s="11" customFormat="1" ht="15.75" customHeight="1" hidden="1">
      <c r="A438" s="51"/>
      <c r="B438" s="51"/>
      <c r="C438" s="51"/>
      <c r="D438" s="290">
        <v>140</v>
      </c>
      <c r="E438" s="276"/>
      <c r="F438" s="276"/>
      <c r="G438" s="199">
        <f>G64+G65+G66+G67+G69+G70+G71+G72+G74</f>
        <v>3187481</v>
      </c>
      <c r="H438" s="466"/>
      <c r="I438" s="466"/>
      <c r="J438" s="466"/>
    </row>
    <row r="439" spans="1:11" s="11" customFormat="1" ht="23.25" customHeight="1" hidden="1">
      <c r="A439" s="278"/>
      <c r="B439" s="277"/>
      <c r="C439" s="277"/>
      <c r="D439" s="290">
        <v>150</v>
      </c>
      <c r="E439" s="279"/>
      <c r="F439" s="279"/>
      <c r="G439" s="471">
        <f>G81+G82+G84+G85+G87+G88+G89+G90+G91+G93+G94+G95+G96+G97+G98+G99+G100+G101+G102+G103+G104+G105+G106+G107+G108+G109+G110+G112+G113+G114+G115+G116+G118+G119+G120+G92</f>
        <v>1120464.5</v>
      </c>
      <c r="H439" s="467"/>
      <c r="I439" s="467"/>
      <c r="J439" s="467"/>
      <c r="K439" s="437"/>
    </row>
    <row r="440" spans="1:9" ht="12.75" hidden="1">
      <c r="A440" s="272"/>
      <c r="B440" s="61"/>
      <c r="C440" s="61"/>
      <c r="D440" s="274">
        <v>160</v>
      </c>
      <c r="E440" s="280"/>
      <c r="F440" s="280"/>
      <c r="G440" s="202">
        <f>G126+G127+G128+G129</f>
        <v>70900</v>
      </c>
      <c r="H440" s="280"/>
      <c r="I440" s="61"/>
    </row>
    <row r="441" spans="1:11" ht="15.75" hidden="1">
      <c r="A441" s="272"/>
      <c r="B441" s="61"/>
      <c r="C441" s="61"/>
      <c r="D441" s="61">
        <v>170</v>
      </c>
      <c r="E441" s="281"/>
      <c r="F441" s="281"/>
      <c r="G441" s="202">
        <f>G136+G137+G138+G139+G140+G141+G143+G144+G145+G146+G147+G148+G149+G150+G152+G153+G154+G155+G156+G157+G159+G161+G162+G163+G164</f>
        <v>1936960</v>
      </c>
      <c r="H441" s="468"/>
      <c r="I441" s="468"/>
      <c r="J441" s="468"/>
      <c r="K441" s="441"/>
    </row>
    <row r="442" spans="4:11" ht="12.75" hidden="1">
      <c r="D442" s="469">
        <v>180</v>
      </c>
      <c r="G442" s="472">
        <f>G171+G172+G173+G175+G176+G177+G178+G179+G180+G181+G182+G183+G184+G185+G186+G187+G188+G190+G192+G193</f>
        <v>343957.52</v>
      </c>
      <c r="H442" s="58"/>
      <c r="I442" s="58"/>
      <c r="J442" s="58"/>
      <c r="K442" s="58"/>
    </row>
    <row r="443" spans="4:11" ht="12.75" hidden="1">
      <c r="D443" s="240">
        <v>220</v>
      </c>
      <c r="G443" s="58">
        <f>G199+G200+G201+G202+G203</f>
        <v>24360</v>
      </c>
      <c r="I443" s="57"/>
      <c r="J443" s="57"/>
      <c r="K443" s="172"/>
    </row>
    <row r="444" spans="4:11" ht="12.75" hidden="1">
      <c r="D444" s="240">
        <v>250</v>
      </c>
      <c r="G444" s="58">
        <f>G209+G210+G211+G213+G215+G217+G219+G220+G222+G223+G224+G225</f>
        <v>670900</v>
      </c>
      <c r="I444" s="61"/>
      <c r="K444" s="172"/>
    </row>
    <row r="445" spans="1:9" ht="12.75" hidden="1">
      <c r="A445" s="6"/>
      <c r="D445" s="6">
        <v>240</v>
      </c>
      <c r="F445" s="58"/>
      <c r="G445" s="58">
        <f>G230+G231+G232+G233+G234+G235+G236+G238+G239+G240+G242+G243+G245+G237</f>
        <v>578906.82</v>
      </c>
      <c r="I445" s="61"/>
    </row>
    <row r="446" spans="1:9" ht="12.75" hidden="1">
      <c r="A446" s="6"/>
      <c r="D446" s="240">
        <v>125</v>
      </c>
      <c r="F446" s="58"/>
      <c r="G446" s="58">
        <f>G251+G252+G253+G254+G255+G256+G257+G259+G261+G262+G263</f>
        <v>187076.5</v>
      </c>
      <c r="I446" s="61"/>
    </row>
    <row r="447" spans="1:9" ht="12.75" hidden="1">
      <c r="A447" s="6"/>
      <c r="D447" s="6">
        <v>300</v>
      </c>
      <c r="F447" s="58"/>
      <c r="G447" s="58">
        <f>G269+G270+G271+G272+G274+G275+G276+G277+G278+G279+G280+G282+G283+G284+G285+G286+G287+G288+G289+G290+G291+G293+G295</f>
        <v>2640400</v>
      </c>
      <c r="I447" s="61"/>
    </row>
    <row r="448" spans="1:9" ht="24.75" customHeight="1" hidden="1">
      <c r="A448" s="6"/>
      <c r="D448" s="6">
        <v>26</v>
      </c>
      <c r="F448" s="58"/>
      <c r="G448" s="58">
        <f>G301+G303+G304+G305+G306+G307+G309+G310+G314+G316</f>
        <v>74367</v>
      </c>
      <c r="I448" s="61"/>
    </row>
    <row r="449" spans="1:9" ht="15" customHeight="1" hidden="1">
      <c r="A449" s="6"/>
      <c r="D449" s="6">
        <v>27</v>
      </c>
      <c r="F449" s="58"/>
      <c r="G449" s="58">
        <f>G321+G323+G324+G325+G326+G327+G328+G329+G331+G333+G334+G335</f>
        <v>84525</v>
      </c>
      <c r="I449" s="61"/>
    </row>
    <row r="450" spans="1:9" ht="19.5" customHeight="1" hidden="1">
      <c r="A450" s="6"/>
      <c r="D450" s="6">
        <v>11</v>
      </c>
      <c r="F450" s="58"/>
      <c r="G450" s="58">
        <f>G340+G341+G342+G343+G345+G346+G347+G348+G349+G350+G351+G352+G353+G355+G356+G358+G360</f>
        <v>203900</v>
      </c>
      <c r="I450" s="61"/>
    </row>
    <row r="451" spans="1:9" ht="12" customHeight="1" hidden="1">
      <c r="A451" s="6"/>
      <c r="D451" s="6">
        <v>400</v>
      </c>
      <c r="F451" s="58"/>
      <c r="G451" s="58">
        <f>G366+G367+G368+G369+G371+G372+G373+G374+G375+G376+G377+G378+G379+G381+G383+G384+G386</f>
        <v>521711.67</v>
      </c>
      <c r="I451" s="61"/>
    </row>
    <row r="452" spans="4:9" ht="19.5" customHeight="1" hidden="1">
      <c r="D452" s="6">
        <v>68</v>
      </c>
      <c r="F452" s="58"/>
      <c r="G452" s="58">
        <f>G390+G391+G392+G393+G394+G396</f>
        <v>9259</v>
      </c>
      <c r="I452" s="61"/>
    </row>
    <row r="453" spans="4:9" ht="19.5" customHeight="1" hidden="1">
      <c r="D453" s="6">
        <v>190</v>
      </c>
      <c r="F453" s="58"/>
      <c r="G453" s="58">
        <f>G401+G404+G405+G406+G407+G408+G409+G411+G413+G414+G415+G417+G418+G419+G420+G421+G423+G424+G426</f>
        <v>1536700</v>
      </c>
      <c r="I453" s="61"/>
    </row>
    <row r="454" spans="4:9" ht="17.25" customHeight="1" hidden="1">
      <c r="D454" s="473" t="s">
        <v>542</v>
      </c>
      <c r="F454" s="58"/>
      <c r="G454" s="58">
        <f>G430</f>
        <v>13243.9</v>
      </c>
      <c r="I454" s="61"/>
    </row>
    <row r="455" spans="6:9" ht="19.5" customHeight="1" hidden="1">
      <c r="F455" s="58"/>
      <c r="G455" s="58">
        <f>G435+G436+G437+G438+G439+G440+G441+G442+G443+G444+G445+G446+G447+G448+G449+G450+G451+G452+G453+G454</f>
        <v>13813000</v>
      </c>
      <c r="I455" s="61"/>
    </row>
    <row r="456" spans="6:9" ht="18.75" customHeight="1">
      <c r="F456" s="58"/>
      <c r="G456" s="58"/>
      <c r="I456" s="61"/>
    </row>
    <row r="457" spans="6:11" ht="12.75">
      <c r="F457" s="58"/>
      <c r="G457" s="58"/>
      <c r="I457" s="61"/>
      <c r="K457" s="172"/>
    </row>
    <row r="458" spans="6:11" ht="12.75">
      <c r="F458" s="58"/>
      <c r="G458" s="58"/>
      <c r="I458" s="61"/>
      <c r="K458" s="172"/>
    </row>
    <row r="459" spans="6:11" ht="12.75" hidden="1">
      <c r="F459" s="58"/>
      <c r="G459" s="58">
        <f>G34+G88+G90+G92+G97+G99+G102+G107+G110+G114+G119+G176+G183+G237+G239+G324+G334+G350+G352</f>
        <v>146756.09999999998</v>
      </c>
      <c r="I459" s="61"/>
      <c r="K459" s="172"/>
    </row>
    <row r="460" spans="6:11" ht="12.75">
      <c r="F460" s="58"/>
      <c r="G460" s="58"/>
      <c r="I460" s="61"/>
      <c r="K460" s="172"/>
    </row>
    <row r="461" spans="6:11" ht="12.75">
      <c r="F461" s="58"/>
      <c r="G461" s="58"/>
      <c r="I461" s="61"/>
      <c r="K461" s="172"/>
    </row>
    <row r="462" spans="6:11" ht="12.75">
      <c r="F462" s="58"/>
      <c r="G462" s="58"/>
      <c r="K462" s="172"/>
    </row>
    <row r="463" spans="1:11" s="13" customFormat="1" ht="15.75" customHeight="1">
      <c r="A463" s="9"/>
      <c r="E463" s="59"/>
      <c r="F463" s="443"/>
      <c r="G463" s="443"/>
      <c r="H463" s="59"/>
      <c r="I463" s="53"/>
      <c r="K463" s="479"/>
    </row>
    <row r="464" spans="6:11" ht="12.75">
      <c r="F464" s="58"/>
      <c r="G464" s="58"/>
      <c r="K464" s="172"/>
    </row>
    <row r="465" spans="6:7" ht="12.75">
      <c r="F465" s="58"/>
      <c r="G465" s="58"/>
    </row>
    <row r="466" spans="6:7" ht="12.75">
      <c r="F466" s="58"/>
      <c r="G466" s="58"/>
    </row>
    <row r="467" ht="12.75">
      <c r="K467" s="172"/>
    </row>
    <row r="469" ht="12.75">
      <c r="G469" s="58"/>
    </row>
    <row r="471" ht="12.75">
      <c r="G471" s="58"/>
    </row>
    <row r="473" spans="1:9" s="13" customFormat="1" ht="15.75" customHeight="1">
      <c r="A473" s="9"/>
      <c r="E473" s="59"/>
      <c r="F473" s="59"/>
      <c r="G473" s="443"/>
      <c r="H473" s="59"/>
      <c r="I473" s="53"/>
    </row>
    <row r="476" spans="1:9" s="13" customFormat="1" ht="15.75" customHeight="1">
      <c r="A476" s="9"/>
      <c r="E476" s="59"/>
      <c r="F476" s="59"/>
      <c r="G476" s="59"/>
      <c r="H476" s="59"/>
      <c r="I476" s="53"/>
    </row>
    <row r="481" ht="15.75" customHeight="1">
      <c r="A481" s="6"/>
    </row>
    <row r="482" spans="1:3" ht="12.75">
      <c r="A482" s="6"/>
      <c r="C482" s="12"/>
    </row>
    <row r="483" spans="1:3" ht="12.75">
      <c r="A483" s="6"/>
      <c r="C483" s="12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spans="1:4" ht="12.75">
      <c r="A498" s="6"/>
      <c r="D498" s="8"/>
    </row>
    <row r="499" spans="1:8" ht="12.75">
      <c r="A499" s="6"/>
      <c r="D499" s="14"/>
      <c r="E499" s="58"/>
      <c r="F499" s="58"/>
      <c r="G499" s="58"/>
      <c r="H499" s="58"/>
    </row>
    <row r="500" spans="1:8" ht="12.75">
      <c r="A500" s="6"/>
      <c r="D500" s="14"/>
      <c r="E500" s="58"/>
      <c r="F500" s="58"/>
      <c r="G500" s="58"/>
      <c r="H500" s="58"/>
    </row>
    <row r="501" spans="1:4" ht="12.75">
      <c r="A501" s="6"/>
      <c r="D501" s="8"/>
    </row>
    <row r="502" spans="1:4" ht="12.75">
      <c r="A502" s="6"/>
      <c r="D502" s="8"/>
    </row>
    <row r="503" spans="1:4" ht="12.75">
      <c r="A503" s="6"/>
      <c r="D503" s="8"/>
    </row>
    <row r="504" spans="1:4" ht="12.75">
      <c r="A504" s="6"/>
      <c r="D504" s="8"/>
    </row>
    <row r="505" spans="1:4" ht="12.75">
      <c r="A505" s="6"/>
      <c r="D505" s="8"/>
    </row>
    <row r="506" spans="1:4" ht="12.75">
      <c r="A506" s="6"/>
      <c r="D506" s="8"/>
    </row>
    <row r="507" spans="1:4" ht="12.75">
      <c r="A507" s="6"/>
      <c r="D507" s="8"/>
    </row>
    <row r="508" spans="1:4" ht="12.75">
      <c r="A508" s="6"/>
      <c r="D508" s="8"/>
    </row>
    <row r="509" spans="1:4" ht="12.75">
      <c r="A509" s="6"/>
      <c r="D509" s="8"/>
    </row>
    <row r="510" spans="1:4" ht="12.75">
      <c r="A510" s="6"/>
      <c r="D510" s="8"/>
    </row>
    <row r="511" spans="1:4" ht="12.75">
      <c r="A511" s="6"/>
      <c r="D511" s="8"/>
    </row>
    <row r="512" spans="1:4" ht="12.75">
      <c r="A512" s="6"/>
      <c r="D512" s="8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spans="1:8" ht="12.75">
      <c r="A519" s="6"/>
      <c r="E519" s="58"/>
      <c r="F519" s="58"/>
      <c r="G519" s="58"/>
      <c r="H519" s="58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spans="1:8" ht="12.75">
      <c r="A529" s="6"/>
      <c r="E529" s="58"/>
      <c r="F529" s="58"/>
      <c r="G529" s="58"/>
      <c r="H529" s="58"/>
    </row>
    <row r="530" ht="12.75">
      <c r="A530" s="6"/>
    </row>
    <row r="531" ht="12.75">
      <c r="A531" s="6"/>
    </row>
    <row r="532" ht="12.75">
      <c r="A532" s="6"/>
    </row>
  </sheetData>
  <sheetProtection/>
  <mergeCells count="92">
    <mergeCell ref="A226:B226"/>
    <mergeCell ref="A122:B124"/>
    <mergeCell ref="A398:B399"/>
    <mergeCell ref="C361:D361"/>
    <mergeCell ref="C398:D399"/>
    <mergeCell ref="A336:B336"/>
    <mergeCell ref="C388:D388"/>
    <mergeCell ref="C387:D387"/>
    <mergeCell ref="C337:D338"/>
    <mergeCell ref="A361:B361"/>
    <mergeCell ref="A45:B47"/>
    <mergeCell ref="A60:B62"/>
    <mergeCell ref="A130:B130"/>
    <mergeCell ref="A121:B121"/>
    <mergeCell ref="A75:B75"/>
    <mergeCell ref="A165:B165"/>
    <mergeCell ref="A76:B79"/>
    <mergeCell ref="A131:B134"/>
    <mergeCell ref="C431:D431"/>
    <mergeCell ref="C427:D427"/>
    <mergeCell ref="A427:B427"/>
    <mergeCell ref="C397:D397"/>
    <mergeCell ref="A397:B397"/>
    <mergeCell ref="C428:D429"/>
    <mergeCell ref="A431:B431"/>
    <mergeCell ref="A428:B429"/>
    <mergeCell ref="A362:B364"/>
    <mergeCell ref="A388:B388"/>
    <mergeCell ref="C318:D319"/>
    <mergeCell ref="A318:B319"/>
    <mergeCell ref="A430:B430"/>
    <mergeCell ref="A337:B338"/>
    <mergeCell ref="C362:D364"/>
    <mergeCell ref="A227:B228"/>
    <mergeCell ref="A297:B299"/>
    <mergeCell ref="A246:B246"/>
    <mergeCell ref="C226:D226"/>
    <mergeCell ref="C432:D432"/>
    <mergeCell ref="A432:B432"/>
    <mergeCell ref="A247:B249"/>
    <mergeCell ref="A387:B387"/>
    <mergeCell ref="A264:B264"/>
    <mergeCell ref="C336:D336"/>
    <mergeCell ref="G2:G3"/>
    <mergeCell ref="H2:H3"/>
    <mergeCell ref="A265:B267"/>
    <mergeCell ref="C265:D267"/>
    <mergeCell ref="A317:B317"/>
    <mergeCell ref="C317:D317"/>
    <mergeCell ref="C205:D207"/>
    <mergeCell ref="C296:D296"/>
    <mergeCell ref="C227:D228"/>
    <mergeCell ref="A296:B296"/>
    <mergeCell ref="C5:D7"/>
    <mergeCell ref="C20:D20"/>
    <mergeCell ref="A44:B44"/>
    <mergeCell ref="A1:I1"/>
    <mergeCell ref="A2:A3"/>
    <mergeCell ref="B2:C2"/>
    <mergeCell ref="D2:D3"/>
    <mergeCell ref="I2:I3"/>
    <mergeCell ref="E2:E3"/>
    <mergeCell ref="F2:F3"/>
    <mergeCell ref="C21:D23"/>
    <mergeCell ref="C121:D121"/>
    <mergeCell ref="C130:D130"/>
    <mergeCell ref="A5:B7"/>
    <mergeCell ref="C59:D59"/>
    <mergeCell ref="A20:B20"/>
    <mergeCell ref="A21:B23"/>
    <mergeCell ref="C44:D44"/>
    <mergeCell ref="C45:D47"/>
    <mergeCell ref="A59:B59"/>
    <mergeCell ref="A194:B194"/>
    <mergeCell ref="A195:B197"/>
    <mergeCell ref="A204:B204"/>
    <mergeCell ref="A166:B169"/>
    <mergeCell ref="C60:D62"/>
    <mergeCell ref="C122:D124"/>
    <mergeCell ref="C75:D75"/>
    <mergeCell ref="C76:D79"/>
    <mergeCell ref="C131:D134"/>
    <mergeCell ref="C297:D299"/>
    <mergeCell ref="C165:D165"/>
    <mergeCell ref="A205:B207"/>
    <mergeCell ref="C264:D264"/>
    <mergeCell ref="C246:D246"/>
    <mergeCell ref="C166:D169"/>
    <mergeCell ref="C247:D249"/>
    <mergeCell ref="C194:D194"/>
    <mergeCell ref="C195:D197"/>
    <mergeCell ref="C204:D204"/>
  </mergeCells>
  <printOptions horizontalCentered="1"/>
  <pageMargins left="0.15748031496062992" right="0.15748031496062992" top="0.35433070866141736" bottom="0.4330708661417323" header="0.31496062992125984" footer="0.2362204724409449"/>
  <pageSetup fitToHeight="12" horizontalDpi="600" verticalDpi="600" orientation="landscape" paperSize="9" scale="99" r:id="rId1"/>
  <headerFooter alignWithMargins="0">
    <oddFooter>&amp;R&amp;P</oddFooter>
  </headerFooter>
  <rowBreaks count="21" manualBreakCount="21">
    <brk id="34" max="17" man="1"/>
    <brk id="56" max="17" man="1"/>
    <brk id="79" max="17" man="1"/>
    <brk id="101" max="17" man="1"/>
    <brk id="121" max="17" man="1"/>
    <brk id="142" max="17" man="1"/>
    <brk id="158" max="17" man="1"/>
    <brk id="179" max="17" man="1"/>
    <brk id="194" max="17" man="1"/>
    <brk id="217" max="17" man="1"/>
    <brk id="234" max="17" man="1"/>
    <brk id="255" max="17" man="1"/>
    <brk id="280" max="17" man="1"/>
    <brk id="305" max="17" man="1"/>
    <brk id="333" max="17" man="1"/>
    <brk id="353" max="17" man="1"/>
    <brk id="374" max="17" man="1"/>
    <brk id="396" max="17" man="1"/>
    <brk id="432" max="17" man="1"/>
    <brk id="437" max="17" man="1"/>
    <brk id="440" max="17" man="1"/>
  </rowBreaks>
  <colBreaks count="1" manualBreakCount="1">
    <brk id="9" max="45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3">
      <selection activeCell="C33" sqref="C33"/>
    </sheetView>
  </sheetViews>
  <sheetFormatPr defaultColWidth="9.140625" defaultRowHeight="12.75"/>
  <cols>
    <col min="1" max="1" width="7.28125" style="0" customWidth="1"/>
    <col min="2" max="2" width="61.8515625" style="0" customWidth="1"/>
    <col min="3" max="3" width="16.8515625" style="0" customWidth="1"/>
    <col min="4" max="4" width="14.7109375" style="0" customWidth="1"/>
    <col min="5" max="5" width="15.8515625" style="0" customWidth="1"/>
    <col min="6" max="6" width="10.28125" style="0" customWidth="1"/>
    <col min="7" max="7" width="11.00390625" style="0" customWidth="1"/>
    <col min="8" max="9" width="13.7109375" style="0" customWidth="1"/>
    <col min="10" max="10" width="14.140625" style="0" customWidth="1"/>
    <col min="11" max="11" width="13.7109375" style="0" customWidth="1"/>
    <col min="12" max="12" width="13.8515625" style="0" customWidth="1"/>
    <col min="13" max="13" width="14.7109375" style="0" customWidth="1"/>
  </cols>
  <sheetData>
    <row r="1" spans="1:7" ht="50.25" customHeight="1">
      <c r="A1" s="543" t="s">
        <v>537</v>
      </c>
      <c r="B1" s="544"/>
      <c r="C1" s="544"/>
      <c r="D1" s="544"/>
      <c r="E1" s="544"/>
      <c r="F1" s="544"/>
      <c r="G1" s="544"/>
    </row>
    <row r="2" spans="1:7" ht="17.25" customHeight="1" thickBot="1">
      <c r="A2" s="354"/>
      <c r="B2" s="356" t="s">
        <v>548</v>
      </c>
      <c r="C2" s="355"/>
      <c r="D2" s="355"/>
      <c r="E2" s="355"/>
      <c r="F2" s="355"/>
      <c r="G2" s="355"/>
    </row>
    <row r="3" spans="1:7" ht="93" customHeight="1" thickTop="1">
      <c r="A3" s="136" t="s">
        <v>252</v>
      </c>
      <c r="B3" s="118" t="s">
        <v>253</v>
      </c>
      <c r="C3" s="144" t="s">
        <v>493</v>
      </c>
      <c r="D3" s="144" t="s">
        <v>521</v>
      </c>
      <c r="E3" s="144" t="s">
        <v>487</v>
      </c>
      <c r="F3" s="144" t="s">
        <v>121</v>
      </c>
      <c r="G3" s="151" t="s">
        <v>135</v>
      </c>
    </row>
    <row r="4" spans="1:7" ht="15" customHeight="1">
      <c r="A4" s="164">
        <v>1</v>
      </c>
      <c r="B4" s="26">
        <v>2</v>
      </c>
      <c r="C4" s="215" t="s">
        <v>133</v>
      </c>
      <c r="D4" s="215" t="s">
        <v>488</v>
      </c>
      <c r="E4" s="215" t="s">
        <v>349</v>
      </c>
      <c r="F4" s="215" t="s">
        <v>489</v>
      </c>
      <c r="G4" s="165">
        <v>7</v>
      </c>
    </row>
    <row r="5" spans="1:9" ht="14.25">
      <c r="A5" s="137" t="s">
        <v>65</v>
      </c>
      <c r="B5" s="138" t="s">
        <v>74</v>
      </c>
      <c r="C5" s="216">
        <f>SUM(SUMIF(Org!$A$8:Org!$A$430," 0111",Org!E$8:Org!E$430),SUMIF(Org!$A$10:Org!$A$430," 0160",Org!E$10:Org!E$431),SUMIF(Org!$A$10:Org!$A$430," 0180",Org!E$10:Org!E$431),SUMIF(Org!$A$10:Org!$A$430,"0170 ",Org!E$10:Org!E$430))-'B.pr. i prim. za nef. im.'!D84-'B.pr. i prim. za nef. im.'!D86</f>
        <v>4850500</v>
      </c>
      <c r="D5" s="216">
        <f>SUM(SUMIF(Org!$A$8:Org!$A$430," 0111",Org!F$8:Org!F$430),SUMIF(Org!$A$10:Org!$A$430," 0160",Org!F$10:Org!F$431),SUMIF(Org!$A$10:Org!$A$430," 0180",Org!F$10:Org!F$431),SUMIF(Org!$A$10:Org!$A$430,"0170 ",Org!F$10:Org!F$430))-'B.pr. i prim. za nef. im.'!E84-'B.pr. i prim. za nef. im.'!E86</f>
        <v>14851.510000000002</v>
      </c>
      <c r="E5" s="216">
        <f>SUM(SUMIF(Org!$A$8:Org!$A$430," 0111",Org!G$8:Org!G$430),SUMIF(Org!$A$10:Org!$A$430," 0160",Org!G$10:Org!G$431),SUMIF(Org!$A$10:Org!$A$430," 0180",Org!G$10:Org!G$431),SUMIF(Org!$A$10:Org!$A$430,"0170 ",Org!G$10:Org!G$430))-'B.pr. i prim. za nef. im.'!F84-'B.pr. i prim. za nef. im.'!F86</f>
        <v>4865351.51</v>
      </c>
      <c r="F5" s="216">
        <f>E5/C5*100</f>
        <v>100.30618513555302</v>
      </c>
      <c r="G5" s="139">
        <f>E5/$E$15*100</f>
        <v>38.76420517138215</v>
      </c>
      <c r="H5" s="1"/>
      <c r="I5" s="1"/>
    </row>
    <row r="6" spans="1:9" ht="14.25">
      <c r="A6" s="137" t="s">
        <v>66</v>
      </c>
      <c r="B6" s="140" t="s">
        <v>75</v>
      </c>
      <c r="C6" s="216">
        <f>SUM(SUMIF(Org!$A$10:Org!$A$431,"02",Org!E$10:Org!E$431))</f>
        <v>0</v>
      </c>
      <c r="D6" s="216">
        <f>E6-C6</f>
        <v>0</v>
      </c>
      <c r="E6" s="216">
        <f>SUM(SUMIF(Org!$A$10:Org!$A$431,"02",Org!G$10:Org!G$431))</f>
        <v>0</v>
      </c>
      <c r="F6" s="216" t="e">
        <f aca="true" t="shared" si="0" ref="F6:F15">E6/C6*100</f>
        <v>#DIV/0!</v>
      </c>
      <c r="G6" s="139">
        <f aca="true" t="shared" si="1" ref="G6:G15">E6/$E$15*100</f>
        <v>0</v>
      </c>
      <c r="H6" s="1"/>
      <c r="I6" s="1"/>
    </row>
    <row r="7" spans="1:9" ht="14.25">
      <c r="A7" s="137" t="s">
        <v>67</v>
      </c>
      <c r="B7" s="138" t="s">
        <v>76</v>
      </c>
      <c r="C7" s="216">
        <f>SUM(SUMIF(Org!$A$10:Org!$A$430," 0320",Org!E$10:Org!E$431))</f>
        <v>262900</v>
      </c>
      <c r="D7" s="216">
        <f>SUM(SUMIF(Org!$A$10:Org!$A$430," 0320",Org!F$10:Org!F$431))</f>
        <v>-68223.5</v>
      </c>
      <c r="E7" s="216">
        <f>SUM(SUMIF(Org!$A$10:Org!$A$430," 0320",Org!G$10:Org!G$431))</f>
        <v>194676.5</v>
      </c>
      <c r="F7" s="216">
        <f t="shared" si="0"/>
        <v>74.04963864587295</v>
      </c>
      <c r="G7" s="139">
        <f t="shared" si="1"/>
        <v>1.5510656881698928</v>
      </c>
      <c r="H7" s="1"/>
      <c r="I7" s="1"/>
    </row>
    <row r="8" spans="1:9" ht="14.25">
      <c r="A8" s="137" t="s">
        <v>68</v>
      </c>
      <c r="B8" s="141" t="s">
        <v>77</v>
      </c>
      <c r="C8" s="216">
        <f>SUM(SUMIF(Org!$A$10:Org!$A$430," 0421",Org!E$10:Org!E$430),SUMIF(Org!$A$10:Org!$A$430," 0422",Org!E$10:Org!E$430),SUMIF(Org!$A$10:Org!$A$430," 0442",Org!E$10:Org!E$430),SUMIF(Org!$A$10:Org!$A$430," 0451",Org!E$10:Org!E$431),SUMIF(Org!$A$10:Org!$A$430," 0473",Org!E$10:Org!E$431),SUMIF(Org!$A$10:Org!$A$430,"0474 ",Org!E$10:Org!E$430),SUMIF(Org!$A$10:Org!$A$430,"0490 ",Org!E$10:Org!E$430))</f>
        <v>1004000</v>
      </c>
      <c r="D8" s="216">
        <f>SUM(SUMIF(Org!$A$10:Org!$A$430," 0421",Org!F$10:Org!F$430),SUMIF(Org!$A$10:Org!$A$430," 0422",Org!F$10:Org!F$430),SUMIF(Org!$A$10:Org!$A$430," 0442",Org!F$10:Org!F$430),SUMIF(Org!$A$10:Org!$A$430," 0451",Org!F$10:Org!F$431),SUMIF(Org!$A$10:Org!$A$430," 0473",Org!F$10:Org!F$431),SUMIF(Org!$A$10:Org!$A$430,"0474 ",Org!F$10:Org!F$430),SUMIF(Org!$A$10:Org!$A$430,"0490 ",Org!F$10:Org!F$430))</f>
        <v>-55350.99</v>
      </c>
      <c r="E8" s="216">
        <f>SUM(SUMIF(Org!$A$10:Org!$A$430," 0421",Org!G$10:Org!G$430),SUMIF(Org!$A$10:Org!$A$430," 0422",Org!G$10:Org!G$430),SUMIF(Org!$A$10:Org!$A$430," 0442",Org!G$10:Org!G$430),SUMIF(Org!$A$10:Org!$A$430," 0451",Org!G$10:Org!G$431),SUMIF(Org!$A$10:Org!$A$430," 0473",Org!G$10:Org!G$431),SUMIF(Org!$A$10:Org!$A$430,"0474 ",Org!G$10:Org!G$430),SUMIF(Org!$A$10:Org!$A$430,"0490 ",Org!G$10:Org!G$430))</f>
        <v>948649.01</v>
      </c>
      <c r="F8" s="216">
        <f t="shared" si="0"/>
        <v>94.486953187251</v>
      </c>
      <c r="G8" s="139">
        <f t="shared" si="1"/>
        <v>7.558266814573599</v>
      </c>
      <c r="H8" s="1"/>
      <c r="I8" s="1"/>
    </row>
    <row r="9" spans="1:9" ht="14.25">
      <c r="A9" s="137" t="s">
        <v>69</v>
      </c>
      <c r="B9" s="141" t="s">
        <v>78</v>
      </c>
      <c r="C9" s="216">
        <f>SUM(SUMIF(Org!$A$10:Org!$A$430," 0510",Org!E$10:Org!E$430))</f>
        <v>0</v>
      </c>
      <c r="D9" s="216">
        <f>E9-C9</f>
        <v>0</v>
      </c>
      <c r="E9" s="216">
        <f>SUM(SUMIF(Org!$A$10:Org!$A$430," 0510",Org!G$10:Org!G$430))</f>
        <v>0</v>
      </c>
      <c r="F9" s="216" t="e">
        <f t="shared" si="0"/>
        <v>#DIV/0!</v>
      </c>
      <c r="G9" s="139">
        <f t="shared" si="1"/>
        <v>0</v>
      </c>
      <c r="H9" s="1"/>
      <c r="I9" s="1"/>
    </row>
    <row r="10" spans="1:9" ht="14.25">
      <c r="A10" s="137" t="s">
        <v>70</v>
      </c>
      <c r="B10" s="141" t="s">
        <v>79</v>
      </c>
      <c r="C10" s="216">
        <f>SUM(SUMIF(Org!$A$10:Org!$A$430,"0630 ",Org!E$10:Org!E$430),SUMIF(Org!$A$10:Org!$A$430,"0620",Org!E$10:Org!E$430),SUMIF(Org!$A$10:Org!$A$430,"0660",Org!E$10:Org!E$430))</f>
        <v>1365500</v>
      </c>
      <c r="D10" s="216">
        <f>SUM(SUMIF(Org!$A$10:Org!$A$430,"0630 ",Org!F$10:Org!F$430),SUMIF(Org!$A$10:Org!$A$430,"0620",Org!F$10:Org!F$430),SUMIF(Org!$A$10:Org!$A$430,"0660",Org!F$10:Org!F$430))</f>
        <v>213350.99</v>
      </c>
      <c r="E10" s="216">
        <f>SUM(SUMIF(Org!$A$10:Org!$A$430,"0630 ",Org!G$10:Org!G$430),SUMIF(Org!$A$10:Org!$A$430,"0620",Org!G$10:Org!G$430),SUMIF(Org!$A$10:Org!$A$430,"0660",Org!G$10:Org!G$430))</f>
        <v>1578850.99</v>
      </c>
      <c r="F10" s="216">
        <f t="shared" si="0"/>
        <v>115.6243859392164</v>
      </c>
      <c r="G10" s="139">
        <f t="shared" si="1"/>
        <v>12.579338529930764</v>
      </c>
      <c r="H10" s="1"/>
      <c r="I10" s="1"/>
    </row>
    <row r="11" spans="1:9" ht="14.25">
      <c r="A11" s="137" t="s">
        <v>71</v>
      </c>
      <c r="B11" s="142" t="s">
        <v>80</v>
      </c>
      <c r="C11" s="216">
        <f>SUM(SUMIF(Org!$A$10:Org!$A$430,"0740",Org!E$10:Org!E$430),SUMIF(Org!$A$10:Org!$A$430,"0734",Org!E$10:Org!E$430))</f>
        <v>102300</v>
      </c>
      <c r="D11" s="216">
        <f>SUM(SUMIF(Org!$A$10:Org!$A$430,"0740",Org!F$10:Org!F$430),SUMIF(Org!$A$10:Org!$A$430,"0734",Org!F$10:Org!F$430))</f>
        <v>15370</v>
      </c>
      <c r="E11" s="216">
        <f>SUM(SUMIF(Org!$A$10:Org!$A$430,"0740",Org!G$10:Org!G$430),SUMIF(Org!$A$10:Org!$A$430,"0734",Org!G$10:Org!G$430))</f>
        <v>117670</v>
      </c>
      <c r="F11" s="216">
        <f t="shared" si="0"/>
        <v>115.02443792766373</v>
      </c>
      <c r="G11" s="139">
        <f t="shared" si="1"/>
        <v>0.9375240438725335</v>
      </c>
      <c r="H11" s="1"/>
      <c r="I11" s="1"/>
    </row>
    <row r="12" spans="1:9" ht="14.25">
      <c r="A12" s="137" t="s">
        <v>72</v>
      </c>
      <c r="B12" s="142" t="s">
        <v>81</v>
      </c>
      <c r="C12" s="216">
        <f>SUM(SUMIF(Org!$A$10:Org!$A$430,"0810",Org!E$10:E$431),SUMIF(Org!$A$10:Org!$A$431,"0820",Org!E$10:Org!E$431),SUMIF(Org!$A$10:Org!$A$431,"0830",Org!E$10:Org!E$431),SUMIF(Org!$A$10:Org!$A$430,"0840",Org!E$10:Org!E$431),SUMIF(Org!$A$10:Org!$A$430,"0860",Org!E$10:Org!E$431))-'B.pr. i prim. za nef. im.'!D89</f>
        <v>893600</v>
      </c>
      <c r="D12" s="216">
        <f>SUM(SUMIF(Org!$A$10:Org!$A$430,"0810",Org!F$10:F$431),SUMIF(Org!$A$10:Org!$A$431,"0820",Org!F$10:Org!F$431),SUMIF(Org!$A$10:Org!$A$431,"0830",Org!F$10:Org!F$431),SUMIF(Org!$A$10:Org!$A$430,"0840",Org!F$10:Org!F$431),SUMIF(Org!$A$10:Org!$A$430,"0860",Org!F$10:Org!F$431))-'B.pr. i prim. za nef. im.'!E89</f>
        <v>51972.59</v>
      </c>
      <c r="E12" s="216">
        <f>SUM(SUMIF(Org!$A$10:Org!$A$430,"0810",Org!G$10:G$431),SUMIF(Org!$A$10:Org!$A$431,"0820",Org!G$10:Org!G$431),SUMIF(Org!$A$10:Org!$A$431,"0830",Org!G$10:Org!G$431),SUMIF(Org!$A$10:Org!$A$430,"0840",Org!G$10:Org!G$431),SUMIF(Org!$A$10:Org!$A$430,"0860",Org!G$10:Org!G$431))-'B.pr. i prim. za nef. im.'!F89</f>
        <v>945572.59</v>
      </c>
      <c r="F12" s="216">
        <f t="shared" si="0"/>
        <v>105.81609109221128</v>
      </c>
      <c r="G12" s="139">
        <f t="shared" si="1"/>
        <v>7.5337557436205085</v>
      </c>
      <c r="H12" s="1"/>
      <c r="I12" s="1"/>
    </row>
    <row r="13" spans="1:9" ht="14.25">
      <c r="A13" s="137" t="s">
        <v>73</v>
      </c>
      <c r="B13" s="141" t="s">
        <v>82</v>
      </c>
      <c r="C13" s="216">
        <f>SUM(SUMIF(Org!$A$10:Org!$A$430,"0912",Org!E$10:Org!E$431),SUMIF(Org!$A$10:Org!$A$430,"0911",Org!E$10:Org!E$431),SUMIF(Org!$A$10:Org!$A$430,"0941",Org!E$10:Org!E$431),SUMIF(Org!$A$10:Org!$A$430,"0942",Org!E$10:Org!E$431),SUMIF(Org!$A$10:Org!$A$430,"0922",Org!E$10:Org!E$431),SUMIF(Org!$A$10:Org!$A$430,"0921",Org!E$10:Org!E$431))</f>
        <v>1046900</v>
      </c>
      <c r="D13" s="216">
        <f>SUM(SUMIF(Org!$A$10:Org!$A$430,"0912",Org!F$10:Org!F$431),SUMIF(Org!$A$10:Org!$A$430,"0911",Org!F$10:Org!F$431),SUMIF(Org!$A$10:Org!$A$430,"0941",Org!F$10:Org!F$431),SUMIF(Org!$A$10:Org!$A$430,"0942",Org!F$10:Org!F$431),SUMIF(Org!$A$10:Org!$A$430,"0922",Org!F$10:Org!F$431),SUMIF(Org!$A$10:Org!$A$430,"0921",Org!F$10:Org!F$431))</f>
        <v>-20275.83</v>
      </c>
      <c r="E13" s="216">
        <f>SUM(SUMIF(Org!$A$10:Org!$A$430,"0912",Org!G$10:Org!G$431),SUMIF(Org!$A$10:Org!$A$430,"0911",Org!G$10:Org!G$431),SUMIF(Org!$A$10:Org!$A$430,"0941",Org!G$10:Org!G$431),SUMIF(Org!$A$10:Org!$A$430,"0942",Org!G$10:Org!G$431),SUMIF(Org!$A$10:Org!$A$430,"0922",Org!G$10:Org!G$431),SUMIF(Org!$A$10:Org!$A$430,"0921",Org!G$10:Org!G$431))</f>
        <v>1026624.1699999999</v>
      </c>
      <c r="F13" s="216">
        <f t="shared" si="0"/>
        <v>98.0632505492406</v>
      </c>
      <c r="G13" s="139">
        <f t="shared" si="1"/>
        <v>8.179526161261862</v>
      </c>
      <c r="H13" s="1"/>
      <c r="I13" s="1"/>
    </row>
    <row r="14" spans="1:9" ht="14.25">
      <c r="A14" s="143">
        <v>10</v>
      </c>
      <c r="B14" s="141" t="s">
        <v>83</v>
      </c>
      <c r="C14" s="216">
        <f>SUM(SUMIF(Org!$A$10:Org!$A$431,"1090",Org!E$10:Org!E$431),SUMIF(Org!$A$10:Org!$A$431,"1040",Org!E$10:Org!E$431))</f>
        <v>2817900</v>
      </c>
      <c r="D14" s="216">
        <f>SUM(SUMIF(Org!$A$10:Org!$A$431,"1090",Org!F$10:Org!F$431),SUMIF(Org!$A$10:Org!$A$431,"1040",Org!F$10:Org!F$431))</f>
        <v>55850</v>
      </c>
      <c r="E14" s="216">
        <f>SUM(SUMIF(Org!$A$10:Org!$A$431,"1090",Org!G$10:Org!G$431),SUMIF(Org!$A$10:Org!$A$431,"1040",Org!G$10:Org!G$431))</f>
        <v>2873750</v>
      </c>
      <c r="F14" s="216">
        <f t="shared" si="0"/>
        <v>101.98197239078746</v>
      </c>
      <c r="G14" s="139">
        <f t="shared" si="1"/>
        <v>22.89631784718869</v>
      </c>
      <c r="H14" s="1"/>
      <c r="I14" s="1"/>
    </row>
    <row r="15" spans="1:9" ht="22.5" customHeight="1" thickBot="1">
      <c r="A15" s="217"/>
      <c r="B15" s="305" t="s">
        <v>437</v>
      </c>
      <c r="C15" s="306">
        <f>SUM(C5:C14)</f>
        <v>12343600</v>
      </c>
      <c r="D15" s="306">
        <f>E15-C15</f>
        <v>207544.76999999955</v>
      </c>
      <c r="E15" s="306">
        <f>SUM(E5:E14)</f>
        <v>12551144.77</v>
      </c>
      <c r="F15" s="306">
        <f t="shared" si="0"/>
        <v>101.68139578405003</v>
      </c>
      <c r="G15" s="218">
        <f t="shared" si="1"/>
        <v>100</v>
      </c>
      <c r="H15" s="1"/>
      <c r="I15" s="1"/>
    </row>
    <row r="16" spans="3:8" ht="13.5" thickTop="1">
      <c r="C16" s="1"/>
      <c r="D16" s="1"/>
      <c r="E16" s="1"/>
      <c r="F16" s="1"/>
      <c r="G16" s="1"/>
      <c r="H16" s="1"/>
    </row>
    <row r="17" spans="1:8" ht="15" thickBot="1">
      <c r="A17" s="458"/>
      <c r="B17" s="356" t="s">
        <v>547</v>
      </c>
      <c r="C17" s="458"/>
      <c r="D17" s="458"/>
      <c r="E17" s="458"/>
      <c r="F17" s="458"/>
      <c r="G17" s="458"/>
      <c r="H17" s="1"/>
    </row>
    <row r="18" spans="1:8" ht="43.5" thickTop="1">
      <c r="A18" s="136" t="s">
        <v>252</v>
      </c>
      <c r="B18" s="378" t="s">
        <v>538</v>
      </c>
      <c r="C18" s="459" t="s">
        <v>493</v>
      </c>
      <c r="D18" s="459" t="s">
        <v>522</v>
      </c>
      <c r="E18" s="459" t="s">
        <v>540</v>
      </c>
      <c r="F18" s="459" t="s">
        <v>121</v>
      </c>
      <c r="G18" s="452" t="s">
        <v>135</v>
      </c>
      <c r="H18" s="1"/>
    </row>
    <row r="19" spans="1:8" ht="15" customHeight="1">
      <c r="A19" s="164">
        <v>1</v>
      </c>
      <c r="B19" s="25">
        <v>2</v>
      </c>
      <c r="C19" s="25">
        <v>3</v>
      </c>
      <c r="D19" s="25" t="s">
        <v>488</v>
      </c>
      <c r="E19" s="25">
        <v>5</v>
      </c>
      <c r="F19" s="25" t="s">
        <v>489</v>
      </c>
      <c r="G19" s="400">
        <v>7</v>
      </c>
      <c r="H19" s="1"/>
    </row>
    <row r="20" spans="1:8" ht="20.25" customHeight="1">
      <c r="A20" s="454" t="s">
        <v>459</v>
      </c>
      <c r="B20" s="455" t="s">
        <v>460</v>
      </c>
      <c r="C20" s="456">
        <f>C15-C21</f>
        <v>10714500</v>
      </c>
      <c r="D20" s="456">
        <f>E20-C20</f>
        <v>135312.9299999997</v>
      </c>
      <c r="E20" s="456">
        <f>E15-E21</f>
        <v>10849812.93</v>
      </c>
      <c r="F20" s="456">
        <f>E20/C20*100</f>
        <v>101.26289542209155</v>
      </c>
      <c r="G20" s="457">
        <f>E20/$E$22*100</f>
        <v>86.44480745639586</v>
      </c>
      <c r="H20" s="1"/>
    </row>
    <row r="21" spans="1:9" ht="18" customHeight="1">
      <c r="A21" s="454" t="s">
        <v>461</v>
      </c>
      <c r="B21" s="455" t="s">
        <v>462</v>
      </c>
      <c r="C21" s="456">
        <f>SUM(SUMIF(Org!$A$10:Org!$A$430,"0734 ",Org!E$10:Org!E$430),SUMIF(Org!$A$10:Org!$A$430,"0740",Org!E$10:Org!E$430),SUMIF(Org!$A$10:Org!$A$430,"0810",Org!E$10:Org!E$430),SUMIF(Org!$A$10:Org!$A$430,"0820",Org!E$10:Org!E$430),SUMIF(Org!$A$10:Org!$A$430,"0911",Org!E$10:Org!E$430),SUMIF(Org!$A$10:Org!$A$430,"0912",Org!E$10:Org!E$430),SUMIF(Org!$A$10:Org!$A$430,"0921",Org!E$10:Org!E$430),SUMIF(Org!$A$10:Org!$A$430,"0922",Org!E$10:Org!E$430),SUMIF(Org!$A$10:Org!$A$430,"0941",Org!E$10:Org!E$430),SUMIF(Org!$A$10:Org!$A$430,"1040",Org!E$10:Org!E$430))-'B.pr. i prim. za nef. im.'!D88</f>
        <v>1629100</v>
      </c>
      <c r="D21" s="456">
        <f>SUM(SUMIF(Org!$A$10:Org!$A$430,"0734 ",Org!F$10:Org!F$430),SUMIF(Org!$A$10:Org!$A$430,"0740",Org!F$10:Org!F$430),SUMIF(Org!$A$10:Org!$A$430,"0810",Org!F$10:Org!F$430),SUMIF(Org!$A$10:Org!$A$430,"0820",Org!F$10:Org!F$430),SUMIF(Org!$A$10:Org!$A$430,"0911",Org!F$10:Org!F$430),SUMIF(Org!$A$10:Org!$A$430,"0912",Org!F$10:Org!F$430),SUMIF(Org!$A$10:Org!$A$430,"0921",Org!F$10:Org!F$430),SUMIF(Org!$A$10:Org!$A$430,"0922",Org!F$10:Org!F$430),SUMIF(Org!$A$10:Org!$A$430,"0941",Org!F$10:Org!F$430),SUMIF(Org!$A$10:Org!$A$430,"1040",Org!F$10:Org!F$430))-'B.pr. i prim. za nef. im.'!E88</f>
        <v>72231.84</v>
      </c>
      <c r="E21" s="456">
        <f>SUM(SUMIF(Org!$A$10:Org!$A$430,"0734 ",Org!G$10:Org!G$430),SUMIF(Org!$A$10:Org!$A$430,"0740",Org!G$10:Org!G$430),SUMIF(Org!$A$10:Org!$A$430,"0810",Org!G$10:Org!G$430),SUMIF(Org!$A$10:Org!$A$430,"0820",Org!G$10:Org!G$430),SUMIF(Org!$A$10:Org!$A$430,"0911",Org!G$10:Org!G$430),SUMIF(Org!$A$10:Org!$A$430,"0912",Org!G$10:Org!G$430),SUMIF(Org!$A$10:Org!$A$430,"0921",Org!G$10:Org!G$430),SUMIF(Org!$A$10:Org!$A$430,"0922",Org!G$10:Org!G$430),SUMIF(Org!$A$10:Org!$A$430,"0941",Org!G$10:Org!G$430),SUMIF(Org!$A$10:Org!$A$430,"1040",Org!G$10:Org!G$430))-'B.pr. i prim. za nef. im.'!F88</f>
        <v>1701331.8399999999</v>
      </c>
      <c r="F21" s="456">
        <f>E21/C21*100</f>
        <v>104.43384936467987</v>
      </c>
      <c r="G21" s="457">
        <f>E21/$E$22*100</f>
        <v>13.55519254360413</v>
      </c>
      <c r="H21" s="1"/>
      <c r="I21" s="453"/>
    </row>
    <row r="22" spans="1:8" ht="18.75" customHeight="1" thickBot="1">
      <c r="A22" s="460"/>
      <c r="B22" s="461" t="s">
        <v>539</v>
      </c>
      <c r="C22" s="462">
        <f>SUM(C20:C21)</f>
        <v>12343600</v>
      </c>
      <c r="D22" s="462">
        <f>E22-C22</f>
        <v>207544.76999999955</v>
      </c>
      <c r="E22" s="462">
        <f>SUM(E20:E21)</f>
        <v>12551144.77</v>
      </c>
      <c r="F22" s="462">
        <f>E22/C22*100</f>
        <v>101.68139578405003</v>
      </c>
      <c r="G22" s="463">
        <f>E22/$E$22*100</f>
        <v>100</v>
      </c>
      <c r="H22" s="1"/>
    </row>
    <row r="23" ht="13.5" thickTop="1"/>
    <row r="24" ht="12.75">
      <c r="E24" s="1"/>
    </row>
    <row r="25" spans="2:7" ht="12.75">
      <c r="B25" s="304"/>
      <c r="C25" s="222"/>
      <c r="D25" s="304"/>
      <c r="E25" s="222"/>
      <c r="F25" s="222"/>
      <c r="G25" s="222"/>
    </row>
    <row r="26" spans="2:8" ht="12.75" hidden="1">
      <c r="B26" s="304" t="s">
        <v>470</v>
      </c>
      <c r="C26" s="222">
        <f>Org!E73+Org!E294+Org!E359+Org!E385+Org!E416+Org!E422+Org!E430</f>
        <v>1397900</v>
      </c>
      <c r="D26" s="304">
        <f>E26-C26</f>
        <v>-156044.77000000002</v>
      </c>
      <c r="E26" s="222">
        <f>Org!G73+Org!G294+Org!G359+Org!G385+Org!G416+Org!G422+Org!G425+Org!G430</f>
        <v>1241855.23</v>
      </c>
      <c r="F26" s="222"/>
      <c r="G26" s="222"/>
      <c r="H26" s="222"/>
    </row>
    <row r="27" spans="2:5" ht="12.75" hidden="1">
      <c r="B27" s="358" t="s">
        <v>471</v>
      </c>
      <c r="C27" s="1">
        <f>'B.pr. i prim. za nef. im.'!D83</f>
        <v>46000</v>
      </c>
      <c r="D27" s="304">
        <f>E27-C27</f>
        <v>-26000</v>
      </c>
      <c r="E27" s="1">
        <f>'B.pr. i prim. za nef. im.'!F83</f>
        <v>20000</v>
      </c>
    </row>
    <row r="28" spans="3:8" ht="12.75" hidden="1">
      <c r="C28" s="1">
        <f>C15+C26+C27</f>
        <v>13787500</v>
      </c>
      <c r="D28" s="304">
        <f>E28-C28</f>
        <v>25500</v>
      </c>
      <c r="E28" s="1">
        <f>E15+E26+E27</f>
        <v>13813000</v>
      </c>
      <c r="H28" s="1"/>
    </row>
  </sheetData>
  <sheetProtection/>
  <mergeCells count="1">
    <mergeCell ref="A1:G1"/>
  </mergeCells>
  <printOptions horizontalCentered="1"/>
  <pageMargins left="0.15748031496062992" right="0.15748031496062992" top="0.7480314960629921" bottom="0.62992125984251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2017-11-22T12:25:20Z</cp:lastPrinted>
  <dcterms:created xsi:type="dcterms:W3CDTF">2006-03-15T13:27:57Z</dcterms:created>
  <dcterms:modified xsi:type="dcterms:W3CDTF">2022-04-06T06:14:32Z</dcterms:modified>
  <cp:category/>
  <cp:version/>
  <cp:contentType/>
  <cp:contentStatus/>
</cp:coreProperties>
</file>