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5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im.'!$A$1:$G$117</definedName>
    <definedName name="_xlnm.Print_Area" localSheetId="3">'B.rash. i izdaci za nef. im.'!$A$1:$F$56</definedName>
    <definedName name="_xlnm.Print_Area" localSheetId="4">'Finansiranje'!$A$1:$D$48</definedName>
    <definedName name="_xlnm.Print_Area" localSheetId="6">'Funkc. kl.'!$A$1:$F$22</definedName>
    <definedName name="_xlnm.Print_Area" localSheetId="1">'opsti dio'!$A$1:$E$67</definedName>
    <definedName name="_xlnm.Print_Area" localSheetId="5">'Org'!$A$1:$H$587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comments6.xml><?xml version="1.0" encoding="utf-8"?>
<comments xmlns="http://schemas.openxmlformats.org/spreadsheetml/2006/main">
  <authors>
    <author>Windows User</author>
  </authors>
  <commentList>
    <comment ref="K378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набавка хармонике</t>
        </r>
      </text>
    </comment>
  </commentList>
</comments>
</file>

<file path=xl/sharedStrings.xml><?xml version="1.0" encoding="utf-8"?>
<sst xmlns="http://schemas.openxmlformats.org/spreadsheetml/2006/main" count="1300" uniqueCount="679">
  <si>
    <t>Трошкови репрезентације</t>
  </si>
  <si>
    <t>Помоћи појединцима</t>
  </si>
  <si>
    <t>Набавка опреме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</si>
  <si>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</si>
  <si>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</si>
  <si>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</si>
  <si>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</si>
  <si>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</si>
  <si>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</si>
  <si>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добитке од игара на срећу</t>
  </si>
  <si>
    <t>Приходи од земљишне ренте</t>
  </si>
  <si>
    <t>Административне таксе</t>
  </si>
  <si>
    <t>Општинске 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</si>
  <si>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</si>
  <si>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</si>
  <si>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</si>
  <si>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</si>
  <si>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</si>
  <si>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</si>
  <si>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</si>
  <si>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</si>
  <si>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</si>
  <si>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</si>
  <si>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</si>
  <si>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</si>
  <si>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</si>
  <si>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</si>
  <si>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</si>
  <si>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</si>
  <si>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</si>
  <si>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</si>
  <si>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</si>
  <si>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</si>
  <si>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</si>
  <si>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</si>
  <si>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</si>
  <si>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</si>
  <si>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</si>
  <si>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</si>
  <si>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</si>
  <si>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</si>
  <si>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</si>
  <si>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</si>
  <si>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</si>
  <si>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</si>
  <si>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</si>
  <si>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</si>
  <si>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</si>
  <si>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</si>
  <si>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</si>
  <si>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</si>
  <si>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</si>
  <si>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</si>
  <si>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</si>
  <si>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</si>
  <si>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</si>
  <si>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</si>
  <si>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</si>
  <si>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</si>
  <si>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</si>
  <si>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</si>
  <si>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</si>
  <si>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</si>
  <si>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</si>
  <si>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</si>
  <si>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</si>
  <si>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</si>
  <si>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</si>
  <si>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</si>
  <si>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</si>
  <si>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</si>
  <si>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</si>
  <si>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</si>
  <si>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</si>
  <si>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</si>
  <si>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</si>
  <si>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</si>
  <si>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</si>
  <si>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</si>
  <si>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</si>
  <si>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</si>
  <si>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</si>
  <si>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</si>
  <si>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</si>
  <si>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</si>
  <si>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</si>
  <si>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</si>
  <si>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</si>
  <si>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</si>
  <si>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</si>
  <si>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</si>
  <si>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ЈЗУ Дом здравља</t>
  </si>
  <si>
    <t>ЈП " Радио Прњавор "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</si>
  <si>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</si>
  <si>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</si>
  <si>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</si>
  <si>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</si>
  <si>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</si>
  <si>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</si>
  <si>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</si>
  <si>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</si>
  <si>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</si>
  <si>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</si>
  <si>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</si>
  <si>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</si>
  <si>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</si>
  <si>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</si>
  <si>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</si>
  <si>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</si>
  <si>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</si>
  <si>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</si>
  <si>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</si>
  <si>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</si>
  <si>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</si>
  <si>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Средства за мјере превентивне здравствене заштите животиња</t>
  </si>
  <si>
    <t>% 
учешћа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</si>
  <si>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</si>
  <si>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</si>
  <si>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</si>
  <si>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</si>
  <si>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</si>
  <si>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</si>
  <si>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</si>
  <si>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</si>
  <si>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</si>
  <si>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</si>
  <si>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</si>
  <si>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</si>
  <si>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</si>
  <si>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</si>
  <si>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</si>
  <si>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</si>
  <si>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</si>
  <si>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</si>
  <si>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</si>
  <si>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</si>
  <si>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</si>
  <si>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</si>
  <si>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</si>
  <si>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</si>
  <si>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</si>
  <si>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</si>
  <si>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</si>
  <si>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Дознаке на име социјалне заштите које се исплаћују из буџета  општине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</si>
  <si>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</si>
  <si>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</si>
  <si>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</si>
  <si>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</si>
  <si>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</si>
  <si>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</si>
  <si>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</si>
  <si>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</si>
  <si>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</si>
  <si>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</si>
  <si>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</si>
  <si>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</si>
  <si>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</si>
  <si>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</si>
  <si>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</si>
  <si>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</si>
  <si>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</si>
  <si>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</si>
  <si>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</si>
  <si>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</si>
  <si>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</si>
  <si>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</si>
  <si>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</si>
  <si>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</si>
  <si>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</si>
  <si>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</si>
  <si>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</si>
  <si>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</si>
  <si>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</si>
  <si>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</si>
  <si>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Расходи поводом манифестација за празничне дане општине</t>
  </si>
  <si>
    <t>Субвенције</t>
  </si>
  <si>
    <t>Једнократне помоћи за треће и свако сљедеће новорођено дијете</t>
  </si>
  <si>
    <t>Подстицаји пољопривредним произвођачима</t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</si>
  <si>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</si>
  <si>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</si>
  <si>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</si>
  <si>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</si>
  <si>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</si>
  <si>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</si>
  <si>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</si>
  <si>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</si>
  <si>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</si>
  <si>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</si>
  <si>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</si>
  <si>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</si>
  <si>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</si>
  <si>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</si>
  <si>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</si>
  <si>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</si>
  <si>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</si>
  <si>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</si>
  <si>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</si>
  <si>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</si>
  <si>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Борачка организација општине Прњавор</t>
  </si>
  <si>
    <t>Удружење РВИ општине Прњавор</t>
  </si>
  <si>
    <t>ОО породица заробљених и погинулих бораца и несталих цивила Прњавор</t>
  </si>
  <si>
    <t>Удружење СУБНОР-а</t>
  </si>
  <si>
    <t xml:space="preserve"> </t>
  </si>
  <si>
    <t>Средства за превоз ђака основних школа</t>
  </si>
  <si>
    <t>Фун. код</t>
  </si>
  <si>
    <t>О П И С</t>
  </si>
  <si>
    <t>Плакете, повеље, награде и признања општине</t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</si>
  <si>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</si>
  <si>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</si>
  <si>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</si>
  <si>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</si>
  <si>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Финансирање Општинске изборне комисије</t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</si>
  <si>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</si>
  <si>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</si>
  <si>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</si>
  <si>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</si>
  <si>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</si>
  <si>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</si>
  <si>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</si>
  <si>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</si>
  <si>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</si>
  <si>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</si>
  <si>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</si>
  <si>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</si>
  <si>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</si>
  <si>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Новчане казне изречене у прекршајном поступку за прекршаје прописане актом СО-е 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</si>
  <si>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</si>
  <si>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</si>
  <si>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</si>
  <si>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</si>
  <si>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</si>
  <si>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</si>
  <si>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Издаци за прибављање земљишта (потпуна експропријација)</t>
  </si>
  <si>
    <t>Трошкови закупнине паркинг простора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</si>
  <si>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</si>
  <si>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</si>
  <si>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</si>
  <si>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ЈУ Центар средњих школа "Иво Андрић" Прњавор</t>
  </si>
  <si>
    <t>Средства за набавку уџбеника и за остале организоване активности за дјецу бораца ВРС и РВИ</t>
  </si>
  <si>
    <t>Поклон пакети за дјецу нижег узраста</t>
  </si>
  <si>
    <t>Једнократне новчане помоћи појединцима из борачке популације</t>
  </si>
  <si>
    <t>ЈУ Гимназија Прњавор</t>
  </si>
  <si>
    <t>Средства за подстицај и развој спорта</t>
  </si>
  <si>
    <t>Трошкови одржавања јавне расвјете
(у граду и мјесним заједницама)</t>
  </si>
  <si>
    <t>Средства за  спомен собу посвећену одбрамбено-отаџбинском рату РС 1991-1995. године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</si>
  <si>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</si>
  <si>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</si>
  <si>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t>Мјере за побољшање демографске ситуације (вантјелесна оплодња и сл.)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</si>
  <si>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</si>
  <si>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</si>
  <si>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</si>
  <si>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</si>
  <si>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</si>
  <si>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</si>
  <si>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</si>
  <si>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</si>
  <si>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</si>
  <si>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</si>
  <si>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</si>
  <si>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</si>
  <si>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</si>
  <si>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</si>
  <si>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</si>
  <si>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</si>
  <si>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</si>
  <si>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</si>
  <si>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</si>
  <si>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</si>
  <si>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t>Расходи за лична примања запослених у Општинској управи</t>
  </si>
  <si>
    <t>Расходи за стручно усавршавање запослених Општинске управе</t>
  </si>
  <si>
    <t>Расходи за стручне услуге Општинске управе</t>
  </si>
  <si>
    <t>Укупни расходи за потрошачку
 јединицу бр.  00750125</t>
  </si>
  <si>
    <t>****</t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</si>
  <si>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</si>
  <si>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</si>
  <si>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</si>
  <si>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</si>
  <si>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</si>
  <si>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</si>
  <si>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</si>
  <si>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</si>
  <si>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</si>
  <si>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</si>
  <si>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</si>
  <si>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Накнада за коришћење шума и шумског земљишта - средства за развој неразвијених дијелова општине остварена продајом шумских сортимената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</si>
  <si>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</si>
  <si>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</si>
  <si>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</si>
  <si>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t>Издаци за залихе материјала, робе и ситног инвентара</t>
  </si>
  <si>
    <t>Издаци за залихе ситног инвентара, одјеће и обуће</t>
  </si>
  <si>
    <t>0422</t>
  </si>
  <si>
    <t xml:space="preserve">Грантови добровољним ватрогасним друштвима општине Прњавор 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</si>
  <si>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</si>
  <si>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Плакете, повеље, награде и признања Начелника општине</t>
  </si>
  <si>
    <t>Израда шумскопривредног основа</t>
  </si>
  <si>
    <t>*******</t>
  </si>
  <si>
    <t>Примици од зајмова узетих од банака</t>
  </si>
  <si>
    <t>Инвестиционо одржавање опреме</t>
  </si>
  <si>
    <t>Издаци за отплату осталих дугова</t>
  </si>
  <si>
    <t>Борачка организација општине Прњавор - финансирање обавеза из ранијег периода</t>
  </si>
  <si>
    <t>Издаци за залихе материјала, робе и ситног инвентара, амбалаже и сл.</t>
  </si>
  <si>
    <t>Капиталне инвестиције из домаћих прихода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</si>
  <si>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</si>
  <si>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</si>
  <si>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</si>
  <si>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</si>
  <si>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</si>
  <si>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</si>
  <si>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</si>
  <si>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</si>
  <si>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</si>
  <si>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</si>
  <si>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</si>
  <si>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</si>
  <si>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</si>
  <si>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</si>
  <si>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</si>
  <si>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</si>
  <si>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</si>
  <si>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</si>
  <si>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</si>
  <si>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</si>
  <si>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</si>
  <si>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</si>
  <si>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Трансфери између  различитих јединица 
власти</t>
  </si>
  <si>
    <t>Расходи за бруто плате запослених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</si>
  <si>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</si>
  <si>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</si>
  <si>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</si>
  <si>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</si>
  <si>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</si>
  <si>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</si>
  <si>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</si>
  <si>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</si>
  <si>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</si>
  <si>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</si>
  <si>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</si>
  <si>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</si>
  <si>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</si>
  <si>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</si>
  <si>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</si>
  <si>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</si>
  <si>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</si>
  <si>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Порези на имовину - порез на непокретности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</si>
  <si>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</si>
  <si>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</si>
  <si>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</si>
  <si>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Финансирање Кола српских сестара Прњавор</t>
  </si>
  <si>
    <t>Финансирање СРД "Укрински цвијет" Прњавор</t>
  </si>
  <si>
    <t>Финансирање Општинске организације слијепих 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</si>
  <si>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</si>
  <si>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</si>
  <si>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</si>
  <si>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Финансирање дијела трошкова изборне кампање политичких субјеката</t>
  </si>
  <si>
    <t>Остали непоменути расходи - припрема дјеце за полазак у школу из дозначене помоћи Министарства просвјете и културе РС</t>
  </si>
  <si>
    <t>Расходи по основу судских рјешења</t>
  </si>
  <si>
    <t>Трансфери јединицама локалне самоуправе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</si>
  <si>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</si>
  <si>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</si>
  <si>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</si>
  <si>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</si>
  <si>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t>411000</t>
  </si>
  <si>
    <t>412000</t>
  </si>
  <si>
    <t>Укупни расходи за потрошачку
 јединицу бр.  08400005</t>
  </si>
  <si>
    <t>ЈУ Музичка школа "Константин Бабић" Прњавор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</si>
  <si>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</si>
  <si>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</si>
  <si>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</si>
  <si>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</si>
  <si>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</si>
  <si>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Трансфери од ентитета  (поравнање јавних прихода по записницима Пореске управе)</t>
  </si>
  <si>
    <t>419000</t>
  </si>
  <si>
    <t>513000</t>
  </si>
  <si>
    <t>Трошкови обештећења по судским  пресудама и трошкови поступка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</si>
  <si>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</si>
  <si>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</si>
  <si>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</si>
  <si>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</si>
  <si>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714111-714311</t>
  </si>
  <si>
    <t>Трансфери од јединица локалнe самоуправe  (поравнање јавних прихода по записницима Пореске управе)</t>
  </si>
  <si>
    <t>Остали општински непорески приходи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</si>
  <si>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</si>
  <si>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</si>
  <si>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</si>
  <si>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</si>
  <si>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Неутрошена намјенска средства из ранијих година од накнада за коришћење шума - средстава за развој неразвијених дијелова општине остварених продајом шумских сортимената</t>
  </si>
  <si>
    <t>Грант Савјета родитеља ЈУ Дјечији вртић "Наша радост" за пројекат Укијева радионица (набавка дидактичког материјала)</t>
  </si>
  <si>
    <t>Грант Савјета родитеља ЈУ Дјечији вртић "Наша радост" за набавку посуђа за кухињу вртића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</si>
  <si>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</si>
  <si>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</si>
  <si>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</si>
  <si>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</si>
  <si>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</si>
  <si>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</si>
  <si>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</si>
  <si>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Грант КП,,Водовод" АД - набавка опреме</t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</si>
  <si>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</si>
  <si>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</si>
  <si>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t>Неутрошене примљене донације из ранијег периода од Ватрогасног савеза Републике Српске за унапређење заштите од пожара</t>
  </si>
  <si>
    <t>Трансфер Фонду солидарности за дијагностику и лијечење обољења, стања и повреда дјеце у иностранству</t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</si>
  <si>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</si>
  <si>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</si>
  <si>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</si>
  <si>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</si>
  <si>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</si>
  <si>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</si>
  <si>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</si>
  <si>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</si>
  <si>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0412</t>
  </si>
  <si>
    <t>Средства за студентске награде - посебни резултати током школовања</t>
  </si>
  <si>
    <t>170-03 План капиталних улагања</t>
  </si>
  <si>
    <t>Укупни расходи за потрошачку
 јединицу бр.  00750241</t>
  </si>
  <si>
    <t>Изградња споменика погинулим борцима у МЗ Кремна - средства Министарства рада и борачко-инвалидске заштите</t>
  </si>
  <si>
    <t>Накнаде за воде - посебне водне накнаде 
(722442-722448, 722457, 722463, 722464, 722465, 722469)</t>
  </si>
  <si>
    <t>Текуће одржавање путева на неразвијеним дијеловима општине</t>
  </si>
  <si>
    <t>Расходи за накнаду плата запослених за вријеме боловања, родитељског одсуства и осталих накнада плата</t>
  </si>
  <si>
    <t>Субвенционисање трошкова комуналних водних услуга социјално угроженим корисницима на подручју општине Прњавор</t>
  </si>
  <si>
    <t>Расходи финансирања, други финансијски трошкови и расходи трансакција размјене између јединица власти</t>
  </si>
  <si>
    <t>Расходи из трансакције размјене између јединица власти</t>
  </si>
  <si>
    <t>1020</t>
  </si>
  <si>
    <t>Грантови из иностранства</t>
  </si>
  <si>
    <t>Трансфер Министарства просвјете и културе РС Дјечијем вртићу "Наша радост" за програм припреме дјеце за полазак у школу</t>
  </si>
  <si>
    <t>Грант Савјета Европе за пројекат "Промоција едукативних садржаја о националним мањинама у основношколском образовању"</t>
  </si>
  <si>
    <t>Изградња споменика погинулим борцима у МЗ Кремна из средстава Министарства рада и борачко-инвалидске заштите РС
(из пренесених ср. из пр. год.)</t>
  </si>
  <si>
    <t>Накнаде за личну инвалиднину из средстава Министарства здравља и социјалне заштите</t>
  </si>
  <si>
    <t>Инвестиционо одржавање стамбених објеката</t>
  </si>
  <si>
    <t>Неутрошена намјенска средства из 2017. године - трансфер Министарства просвјете и културе РС на име суфинансирања санације Основне школе "Милош Црњански" Поточани</t>
  </si>
  <si>
    <t>Субвенције за легализацију бесправно изграђених објеката</t>
  </si>
  <si>
    <t>Расходи по основу закупа - пројекат "Наша продавница"</t>
  </si>
  <si>
    <t>Расходи за бруто накнаде члановима управног одбора</t>
  </si>
  <si>
    <t>Средства за реализацију акционог плана за равноправност полова</t>
  </si>
  <si>
    <t>И) РАСПОДЈЕЛА СУФИЦИТА ИЗ РАНИЈЕГ ПЕРИОДА</t>
  </si>
  <si>
    <t>Г) РАСПОДЈЕЛА СУФИЦИТА ИЗ РАНИЈЕГ ПЕРИОДА</t>
  </si>
  <si>
    <t>Издаци по основу аванса</t>
  </si>
  <si>
    <t>3</t>
  </si>
  <si>
    <t>Акцизе</t>
  </si>
  <si>
    <t>Порези на промет производа</t>
  </si>
  <si>
    <t>Порези на промет услуга</t>
  </si>
  <si>
    <t>Трансфер Министарства здравља и социјалне заштите РС Центру за социјални рад за накнаде за личну инвалиднину</t>
  </si>
  <si>
    <t>Акциони план за имплементацију стратегије за инклузију Рома</t>
  </si>
  <si>
    <t>Расходи за материјал за текуће одржавање</t>
  </si>
  <si>
    <t>ОО организације старјешина ВРС</t>
  </si>
  <si>
    <t>Обиљежавање Риболовног купа  РВИ</t>
  </si>
  <si>
    <t>Донације правних лица ЈУ Дјечији вртић "Наша радост" Прњавор</t>
  </si>
  <si>
    <t>Подка-
тегорија</t>
  </si>
  <si>
    <t>Изградња и реконструкција објеката водоснабдијевања (базени, цјевоводи, изворишта, чесме и др.) из намјенских ср. за воде</t>
  </si>
  <si>
    <t>Грант општине Центар Сарајево за санацију оштећене путне комуникације у Коњуховцима и санацију каптаже и дистрибутивног резервоара у МЗ Лишња</t>
  </si>
  <si>
    <t>Трансфер Министарства породице, омладине и спорта ЈУ  Дјечији вртић "Наша радост" на име набавке дидактичког материјала и награде на име награђеног ликовног рада</t>
  </si>
  <si>
    <t>Грант УНДП/МЕГ - подстицаји за набавку машина и опреме</t>
  </si>
  <si>
    <t>Изједначавање могућности дјеце и омладине са сметњама у развоју из средстава Министарства здравља и социјалне заштите</t>
  </si>
  <si>
    <t>Средства за имплементацију пројекта "Омладинска банка"</t>
  </si>
  <si>
    <t>Средства за студентске картице</t>
  </si>
  <si>
    <t>Издаци за изградњу и прибављање стамбених јединица и објеката</t>
  </si>
  <si>
    <t>0510</t>
  </si>
  <si>
    <t>Подршка развоју задругарства</t>
  </si>
  <si>
    <t>Укупни расходи за потрошачку
 јединицу бр.  00750126</t>
  </si>
  <si>
    <t>Набавка грађевинских објеката (вањско уређење објекта)</t>
  </si>
  <si>
    <t>Средства за трошкове обиљежавања значајних датума (за трошкове вијенаца, цвијећа, свијећа и др.)</t>
  </si>
  <si>
    <t>Грант УНДП/МЕГ - изградња дистрибутивног цјевовода за водоснабдијевање индустријске зоне Вијака</t>
  </si>
  <si>
    <t>Средства за боравак лица у локалном карантину</t>
  </si>
  <si>
    <t>Трошкови непотпуне експропријације, процјене, вјештачења, накнаде штета и слично</t>
  </si>
  <si>
    <t>Субвенције закупнине стамбених јединица социјалног становања</t>
  </si>
  <si>
    <t>Трансфер Фонда солидарности за обнову РС за сузбијање посљедица изазваних пандемијом корона вируса</t>
  </si>
  <si>
    <t>Једнократна новчана помоћ комуналним полицајцима из средстава Фонда солидарности за обнову РС</t>
  </si>
  <si>
    <t>Неутрошена намјенска средства из 2019. године - трансфер Републичког секретеријата за расељена лица и миграције за изградњу улице Милана Тепића</t>
  </si>
  <si>
    <t>Буџет за 
2021. годину</t>
  </si>
  <si>
    <t>Трошкови провођења избора за чланове Савјета мјесних заједница</t>
  </si>
  <si>
    <t>Помоћ сеоским водоводима из намјенских средстава за воде</t>
  </si>
  <si>
    <t>Сервисни трошкови школовања дјеце са сметњама у развоју</t>
  </si>
  <si>
    <t>Сервисни трошкови школовања дјеце са сметњама у развоју - смјештај у хранитељску породицу</t>
  </si>
  <si>
    <t>Неутрошена намјенска средства из 2019. године - грант Савјета Европе за пројекат "Промоција  за изградњу канализационе мреже по пројекту ROMACTED</t>
  </si>
  <si>
    <t>Расходи по основу путовања и смјештаја запослених Општинске управе</t>
  </si>
  <si>
    <t>Трошкови сервисирања зајмова примљених у земљи</t>
  </si>
  <si>
    <t>Неутрошена намјенска средства од посебних накнада за шуме из ранијих година</t>
  </si>
  <si>
    <t>Субвенционисање комуналних такса  за истицање пословног имена</t>
  </si>
  <si>
    <t>Грант физичких лица-група грађана МЗ бабановци за реконструкцију локалног пута Бабановци-џамија</t>
  </si>
  <si>
    <t>Грант Савјета Европе  за помоћ Ромској заједници усљед пандемије COVID-a</t>
  </si>
  <si>
    <t>Помоћ Ромској заједници усљед пандемије корона вируса - из средстава Савјета Европе</t>
  </si>
  <si>
    <t xml:space="preserve">Трансфер Министарства за европске интеграције и међународну сарадњу за реализацију УНДП пројекта "Зелени економски развој II"општине Прњавор </t>
  </si>
  <si>
    <t>Трансфери унутар исте јединице власти</t>
  </si>
  <si>
    <t>Грант правних и физичких лица ЈУ Центар средњих школа "Иво Андрић" Прњавор за пројекат увођења интернет мреже</t>
  </si>
  <si>
    <t>717111-717112</t>
  </si>
  <si>
    <r>
      <t xml:space="preserve">Трошкови репрезентације- </t>
    </r>
    <r>
      <rPr>
        <b/>
        <sz val="10"/>
        <rFont val="Times New Roman"/>
        <family val="1"/>
      </rPr>
      <t>буџетска резерва</t>
    </r>
  </si>
  <si>
    <r>
      <t xml:space="preserve">Плакете, повеље, награде и признања Начелника општине 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</si>
  <si>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Црвеног крста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</si>
  <si>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подстицај и развој спорта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</si>
  <si>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</si>
  <si>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Кола српских сестара Прњавор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</si>
  <si>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националних мањина - </t>
    </r>
    <r>
      <rPr>
        <b/>
        <sz val="10"/>
        <rFont val="Times New Roman"/>
        <family val="1"/>
      </rPr>
      <t>буџетска резерва</t>
    </r>
  </si>
  <si>
    <r>
      <t xml:space="preserve">Удружење пензионера - </t>
    </r>
    <r>
      <rPr>
        <b/>
        <sz val="10"/>
        <rFont val="Times New Roman"/>
        <family val="1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</si>
  <si>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</si>
  <si>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10"/>
        <rFont val="Times New Roman"/>
        <family val="1"/>
      </rPr>
      <t>буџетска резерва</t>
    </r>
  </si>
  <si>
    <r>
      <t xml:space="preserve">ЈП " Радио Прњавор "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</si>
  <si>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студентске награде - посебни резултати током школовања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</si>
  <si>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једнократне помоћи - </t>
    </r>
    <r>
      <rPr>
        <b/>
        <sz val="10"/>
        <rFont val="Times New Roman"/>
        <family val="1"/>
      </rPr>
      <t>буџетска резерва</t>
    </r>
  </si>
  <si>
    <r>
      <t xml:space="preserve">Помоћ основним школама - </t>
    </r>
    <r>
      <rPr>
        <b/>
        <sz val="10"/>
        <rFont val="Times New Roman"/>
        <family val="1"/>
      </rPr>
      <t>буџетска резерва</t>
    </r>
  </si>
  <si>
    <r>
      <t>Трошкови провизије за електронску наплату паркинга 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преноса података видео надзора</t>
    </r>
  </si>
  <si>
    <r>
      <t xml:space="preserve">Борачка организација општине Прњавор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</si>
  <si>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остале трошкове обиљежавања значајних датума (за трошкове вијенаца, цвијећа, свијећа и др.) - </t>
    </r>
    <r>
      <rPr>
        <b/>
        <sz val="10"/>
        <rFont val="Times New Roman"/>
        <family val="1"/>
      </rPr>
      <t>буџетска резерва</t>
    </r>
  </si>
  <si>
    <r>
      <t xml:space="preserve">Једнократне новчане помоћи појединцима из борачке популације - </t>
    </r>
    <r>
      <rPr>
        <b/>
        <sz val="10"/>
        <rFont val="Times New Roman"/>
        <family val="1"/>
      </rPr>
      <t>буџетска резерва</t>
    </r>
  </si>
  <si>
    <r>
      <t xml:space="preserve">Расходи за стручне услуге (извршење рјешења,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мониторинг загађујућих материја у животној средини)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</si>
  <si>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</si>
  <si>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r>
      <t>Смјештај штићеника у установе социјалне заштите</t>
    </r>
    <r>
      <rPr>
        <sz val="10"/>
        <color indexed="10"/>
        <rFont val="Times New Roman"/>
        <family val="1"/>
      </rPr>
      <t xml:space="preserve"> - </t>
    </r>
    <r>
      <rPr>
        <sz val="10"/>
        <rFont val="Times New Roman"/>
        <family val="1"/>
      </rPr>
      <t>буџетске кориснике</t>
    </r>
  </si>
  <si>
    <r>
      <t>Расходи за стручне услуге -</t>
    </r>
    <r>
      <rPr>
        <b/>
        <sz val="10"/>
        <rFont val="Times New Roman"/>
        <family val="1"/>
      </rPr>
      <t xml:space="preserve"> буџетска резерва</t>
    </r>
  </si>
  <si>
    <r>
      <t xml:space="preserve">Расходи за стручне услуге Центра за културу - </t>
    </r>
    <r>
      <rPr>
        <b/>
        <sz val="10"/>
        <rFont val="Times New Roman"/>
        <family val="1"/>
      </rPr>
      <t>буџетска резерва</t>
    </r>
  </si>
  <si>
    <r>
      <t xml:space="preserve">Набавка опреме - </t>
    </r>
    <r>
      <rPr>
        <b/>
        <sz val="10"/>
        <rFont val="Times New Roman"/>
        <family val="1"/>
      </rPr>
      <t>буџетска резерва</t>
    </r>
  </si>
  <si>
    <t>Утрошак намјенских средстава за финансирање посебних мјера заштите од пожара</t>
  </si>
  <si>
    <t xml:space="preserve">%
 учешћа </t>
  </si>
  <si>
    <t>Једнократне новчане помоћи појединцима</t>
  </si>
  <si>
    <t>Омладински центар Прњавор</t>
  </si>
  <si>
    <t>Неутрошена намјенска средства из 2020. године - трансфер Министарства за европске интеграције и међународну сарадњу за реализацију УНДП пројекта "Зелени економски развој II"општине Прњавор</t>
  </si>
  <si>
    <t>Накнаде члановима комисија</t>
  </si>
  <si>
    <t>Неутрошена намјенска средства из 2020. године - грант Фонда за развој и запошљавање РС за пројекат "Модерна инфраструктура за развој пољопривреде и развијено село"</t>
  </si>
  <si>
    <t>Неутрошена намјенска средства из 2020. године - трансфер Републичког секретеријата за расељена лица и миграције за реконструкцију локалног пута у МЗ Коњуховци</t>
  </si>
  <si>
    <t>Реализација УНДП пројекта "Зелени економски развој II"- из неутрошеног трансфера Министарства за европске интеграције и међународну сарадњу из 2020. године</t>
  </si>
  <si>
    <t>Реализација пројекта "Модерна инфраструктура за развој пољопривреде и развијено село" из неутрошених средстава гранта Фонда за развој и запошљавање РС из 2020. године</t>
  </si>
  <si>
    <t>Инвестиционо  одржавање, реконструкција и адаптација зграда и објеката  Општинске управе</t>
  </si>
  <si>
    <t>Трошкови првостепених стручних комисија</t>
  </si>
  <si>
    <t>Изградња и реконструкција инфраструктуре и других објеката на неразвијеним дијеловима општине</t>
  </si>
  <si>
    <t>Примици од продаје стамбених објеката</t>
  </si>
  <si>
    <t>Неутрошена намјенска средства из 2020. године - трансфер Министарства за просторно уређење, грађевинарство и екологију на име суфинансирања израде докумената просторног уређења</t>
  </si>
  <si>
    <t>Реализација пројекта "Реконструкција локалног пута у МЗ Коњуховци" из неутрошеног трансфера Републичког секретеријата за расељена лица и миграције из 2020. године</t>
  </si>
  <si>
    <t>Израда  регулационих и урбанистичких планова, пројеката, програма и студија - из неутрошеног трансфера Министарства за просторно уређење, грађевинарство и екологију из 2020. године</t>
  </si>
  <si>
    <t>Финансирање "Родитељске куће"</t>
  </si>
  <si>
    <t>1011</t>
  </si>
  <si>
    <t>Средства за набавку уџбеника за породице са четворо и више дјеце</t>
  </si>
  <si>
    <t>Остали комунални послови по наруџби (саднице,  канали, уређење и одржавање  зелених површина и спортских терена, објекти на путу, чишћење сливника, одржавање јавних извора и др.)</t>
  </si>
  <si>
    <t>Зимско одржавање локалних путева, улица, тротоара, тргова и др.</t>
  </si>
  <si>
    <t>Набавка возила за одвоз комуналног отпада</t>
  </si>
  <si>
    <t>Предлагач: Начелник општине</t>
  </si>
  <si>
    <t xml:space="preserve">       Обрађивач: Одјељење за финансије</t>
  </si>
  <si>
    <t>Буџет за
 2021. годину</t>
  </si>
  <si>
    <r>
      <t>Трошкови интеркаларне камате на примљени зајам (</t>
    </r>
    <r>
      <rPr>
        <sz val="10"/>
        <color indexed="10"/>
        <rFont val="Times New Roman"/>
        <family val="1"/>
      </rPr>
      <t>0,00 КМ</t>
    </r>
    <r>
      <rPr>
        <sz val="10"/>
        <rFont val="Times New Roman"/>
        <family val="1"/>
      </rPr>
      <t>)</t>
    </r>
  </si>
  <si>
    <r>
      <t>Трошкови обраде кредитне документације за примљене зајмове</t>
    </r>
    <r>
      <rPr>
        <sz val="10"/>
        <color indexed="10"/>
        <rFont val="Times New Roman"/>
        <family val="1"/>
      </rPr>
      <t xml:space="preserve"> (0,00 КМ)</t>
    </r>
  </si>
  <si>
    <r>
      <t xml:space="preserve">Камата на кредит од </t>
    </r>
    <r>
      <rPr>
        <sz val="10"/>
        <color indexed="10"/>
        <rFont val="Times New Roman"/>
        <family val="1"/>
      </rPr>
      <t>0,00 КМ</t>
    </r>
  </si>
  <si>
    <r>
      <t>Отплата дуга по кредиту од</t>
    </r>
    <r>
      <rPr>
        <sz val="10"/>
        <color indexed="10"/>
        <rFont val="Times New Roman"/>
        <family val="1"/>
      </rPr>
      <t xml:space="preserve"> (0,00 КМ)</t>
    </r>
  </si>
  <si>
    <t>Капиталне инвестиције из кредитних средстава</t>
  </si>
  <si>
    <r>
      <t>Трошкови обештећења по судским  пресудама и трошкови поступка -</t>
    </r>
    <r>
      <rPr>
        <b/>
        <sz val="10"/>
        <rFont val="Times New Roman"/>
        <family val="1"/>
      </rPr>
      <t xml:space="preserve"> из кредитних средстава</t>
    </r>
  </si>
  <si>
    <t xml:space="preserve"> БУЏЕТ
ОПШТИНЕ ПРЊАВОР 
ЗА 2022. ГОДИНУ</t>
  </si>
  <si>
    <t>ТАБЕЛА 1.   БУЏЕТ ОПШТИНЕ ПРЊАВОР ЗА 2022. ГОДИНУ
- ОПШТИ ДИО</t>
  </si>
  <si>
    <t>ТАБЕЛА 2.  БУЏЕТ ОПШТИНЕ ПРЊАВОР ЗА 2022. ГОДИНУ
-БУЏЕТСКИ ПРИХОДИ И ПРИМИЦИ ЗА НЕФИНАНСИЈСКУ ИМОВИНУ</t>
  </si>
  <si>
    <t xml:space="preserve">  ТАБЕЛА 3.  БУЏЕТ ОПШТИНЕ ПРЊАВОР ЗА 2022. ГОДИНУ
-БУЏЕТСКИ РАСХОДИ И ИЗДАЦИ ЗА НЕФИНАНСИЈСКУ ИМОВИНУ        </t>
  </si>
  <si>
    <t>ТАБЕЛА 4.  БУЏЕТ ОПШТИНЕ ПРЊАВОР ЗА 2022. ГОДИНУ
- ФИНАНСИРАЊЕ</t>
  </si>
  <si>
    <t xml:space="preserve"> ТАБЕЛА 5.   БУЏЕТ ОПШТИНЕ ПРЊАВОР ЗА 2022. ГОДИНУ
 - ОРГАНИЗАЦИОНА КЛАСИФИКАЦИЈА                                                                                                                                                                                    </t>
  </si>
  <si>
    <t xml:space="preserve">  ТАБЕЛА 6.    БУЏЕТ ОПШТИНЕ ПРЊАВОР ЗА 2022. ГОДИНУ
- ФУНКЦИОНАЛНА КЛАСИФИКАЦИЈА </t>
  </si>
  <si>
    <t>Буџет за 
2022. годину</t>
  </si>
  <si>
    <t>5(4/3*100)</t>
  </si>
  <si>
    <t>6(5/4*100)</t>
  </si>
  <si>
    <t xml:space="preserve"> Буџет за 
2022. годину</t>
  </si>
  <si>
    <t>7(6/5*100)</t>
  </si>
  <si>
    <t>4</t>
  </si>
  <si>
    <t>Укупни расходи за потрошачку
 јединицу бр.  00750700</t>
  </si>
  <si>
    <t>Расходи за накнаде за превоз и смјештај (нето)</t>
  </si>
  <si>
    <t>Расходи за накнаде по основу награда (нето)</t>
  </si>
  <si>
    <t>Расходи за закуп зграда, објеката и превозних средстава</t>
  </si>
  <si>
    <t>Расходи по основу утрошка енергије</t>
  </si>
  <si>
    <t>Расходи за комуналне услуге</t>
  </si>
  <si>
    <t>Расходи за комуникационе услуге</t>
  </si>
  <si>
    <t>Расходи за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</si>
  <si>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</si>
  <si>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</si>
  <si>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остали материјал</t>
  </si>
  <si>
    <t>Расходи текућег одржавања зграда</t>
  </si>
  <si>
    <t>Расходи текућег одржавања опреме</t>
  </si>
  <si>
    <t>Расходи по основу путовања и смјештаја у земљи</t>
  </si>
  <si>
    <t>Расходи по основу утрошка горива</t>
  </si>
  <si>
    <t>Расходи за услуге осигурања</t>
  </si>
  <si>
    <t>Расходи за услуге информисања</t>
  </si>
  <si>
    <t>Расходи за компјутерске услуге</t>
  </si>
  <si>
    <t>Расходи за бруто накнаде ван радног времена</t>
  </si>
  <si>
    <t>Расходи по основу организације пријема и славе</t>
  </si>
  <si>
    <t>Остали расходи по основу репрезентације</t>
  </si>
  <si>
    <t>Расходи по основу пореза, доприноса и непореских накнада
на терет послодавца</t>
  </si>
  <si>
    <t>Трошкови здравствених услуга</t>
  </si>
  <si>
    <t>Остали непоменути расходи - превоз медецинског отпада и др.</t>
  </si>
  <si>
    <t>413000</t>
  </si>
  <si>
    <t>418000</t>
  </si>
  <si>
    <t>Расходу финансирања, други финансијски трошкови  и расходи трансакција размјене измеђуу или унутар јединица власти</t>
  </si>
  <si>
    <t>Издаци за произведену  сталну имовину</t>
  </si>
  <si>
    <t>Издаци за залихе материјала,  робе и ситног инвентара,
амбалаже и сл.</t>
  </si>
  <si>
    <t>610000</t>
  </si>
  <si>
    <t>Издаци за отплату дугова из трансакција између или унутар јединице власти</t>
  </si>
  <si>
    <t>Расходи по основу камата на примљене зајмове у земљи 
(зајмови примљени од банака)</t>
  </si>
  <si>
    <t>Раходи по основу камата на зајмове примљене од Фонда</t>
  </si>
  <si>
    <t>511000</t>
  </si>
  <si>
    <t>Издаци за набавку канцеларијске опреме, алата и инвентара</t>
  </si>
  <si>
    <t>Издаци за набавку комуникационе и рачунарске опреме</t>
  </si>
  <si>
    <t>Издаци за машине, уређаје и опрему за хлађење и гријање</t>
  </si>
  <si>
    <t>Издаци за набавку медецинске и лабараторијске опреме</t>
  </si>
  <si>
    <t>Издаци за нематеријалну произведену имовину</t>
  </si>
  <si>
    <t>Издаци за набавку лиценци</t>
  </si>
  <si>
    <t>516000</t>
  </si>
  <si>
    <t>Издаци за залихе медецинског и лабараторијском материјала</t>
  </si>
  <si>
    <t>Издаци за залихе одјеће и остале залихе материјала</t>
  </si>
  <si>
    <t>621000</t>
  </si>
  <si>
    <t>628000</t>
  </si>
  <si>
    <t>631000</t>
  </si>
  <si>
    <t>638000</t>
  </si>
  <si>
    <t>Издаци за отплату главнице зајмова примљених из земље</t>
  </si>
  <si>
    <t>Издаци за отплату главнице примљених зајмова од Фонда</t>
  </si>
  <si>
    <t>Издаци по основу пореза на додату вриједност</t>
  </si>
  <si>
    <t>Остали издаци из трансакција између или унутар 
јединице власти</t>
  </si>
  <si>
    <t>Издаци за накнаде плата за породиљско боловање и остала боловања 
које се рефундира</t>
  </si>
  <si>
    <t>Расходи за накнаду плата запослених за вријеме боловања
који се не рефундирају (бруто)</t>
  </si>
  <si>
    <t>0720</t>
  </si>
  <si>
    <t>Приходи од партиципације</t>
  </si>
  <si>
    <t>Приходи од неосигураних лица</t>
  </si>
  <si>
    <t>Приходи од осталих здравствених услуга</t>
  </si>
  <si>
    <t>Приходи по основу пружања амбулантних услуга</t>
  </si>
  <si>
    <t>Приходи по основу израде медецинских средстава</t>
  </si>
  <si>
    <t>Приходи по основу услуга иноосигураницима-конвенција</t>
  </si>
  <si>
    <t>Приходи по основу санитетског превоза</t>
  </si>
  <si>
    <t>Приходи по основу осталих здравствених услуга здравствене заштите</t>
  </si>
  <si>
    <t>Приходи по основу пружања услуга  дијализе</t>
  </si>
  <si>
    <t>Приходи по основу консултативно- специјалистичке здравствене заштите</t>
  </si>
  <si>
    <t xml:space="preserve">Приходи од финансијске и нефинансијске имовине и трансакција размјене унутар исте јединице власти </t>
  </si>
  <si>
    <t>Расходи за услуге превоза и смјештаја</t>
  </si>
  <si>
    <t>Расходи за медецински и лабораторијски материјал</t>
  </si>
  <si>
    <t>Расходи за правне и административне послове</t>
  </si>
  <si>
    <t>Расходи за остале стручне услуге</t>
  </si>
  <si>
    <t>Остали некласификовани расходи из трансакција са државом</t>
  </si>
  <si>
    <t>Приходи од закупа  пословних простора - Општинска управа</t>
  </si>
  <si>
    <r>
      <t xml:space="preserve">Приходи од  закупа  пословних простора - </t>
    </r>
    <r>
      <rPr>
        <b/>
        <sz val="10"/>
        <rFont val="Times New Roman"/>
        <family val="1"/>
      </rPr>
      <t>ЈЗУ Дом здравља</t>
    </r>
  </si>
  <si>
    <t>Расходи по основу закупа из трансакција унутар исте јединице власти</t>
  </si>
  <si>
    <t>Расходи по основу утрошка гријања, електричне енергије, воде и канализације унутар исте јединице власти</t>
  </si>
  <si>
    <t>Расходи из трансакција размјене унутар исте јединице власти</t>
  </si>
  <si>
    <t>Издаци за изградњу и прибављање објеката</t>
  </si>
  <si>
    <t xml:space="preserve">Комунална такса за коришћење простора за паркирање моторних, друмских и прикључних возила </t>
  </si>
  <si>
    <t>Подршка систему прихвата и интеграције држављана БиХ који се враћају по основу Споразума о реадмисији</t>
  </si>
  <si>
    <t>1070</t>
  </si>
  <si>
    <t>Приходи од пружања јавних услуга (А+Б+В)</t>
  </si>
  <si>
    <t>контрола</t>
  </si>
  <si>
    <r>
      <t xml:space="preserve">Примици од наплате осталих зајмова датих радницима - </t>
    </r>
    <r>
      <rPr>
        <b/>
        <sz val="10"/>
        <rFont val="Times New Roman"/>
        <family val="1"/>
      </rPr>
      <t>ЈЗУ Дом здравља</t>
    </r>
  </si>
  <si>
    <r>
      <t>Примици по основу пореза на додату вриједност -</t>
    </r>
    <r>
      <rPr>
        <b/>
        <sz val="10"/>
        <rFont val="Times New Roman"/>
        <family val="1"/>
      </rPr>
      <t xml:space="preserve"> ЈЗУ Дом здравља</t>
    </r>
  </si>
  <si>
    <r>
      <t xml:space="preserve">Примици за накнаде плата за породиљско одсуство и за вријеме боловања који се рефундирају од фондова обавезног социјалног осигурања - </t>
    </r>
    <r>
      <rPr>
        <b/>
        <sz val="10"/>
        <rFont val="Times New Roman"/>
        <family val="1"/>
      </rPr>
      <t>ЈЗУ Дом здравља</t>
    </r>
  </si>
  <si>
    <r>
      <t>Издаци по основу пореза на додату вриједност -</t>
    </r>
    <r>
      <rPr>
        <b/>
        <sz val="11"/>
        <rFont val="Times New Roman"/>
        <family val="1"/>
      </rPr>
      <t xml:space="preserve"> ЈЗУ Дом здравља</t>
    </r>
  </si>
  <si>
    <t>Трошкови чишћења улица, тротоара и зелeних површина, трошкови прања улица и тротоара, кошења зелених површина, шишања живих ограда  и ванредни комунални послови по наруџби (сјечење растиња, одржавање дрвореда и сл.)</t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</si>
  <si>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Дјечији вртић " Наша радост" Прњавор
Број: 00750400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</si>
  <si>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</si>
  <si>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пољопривреду, водопривреду и шумарство
Број: 00750250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</si>
  <si>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Одсјек за јавне  набавке, правна питања и прописе
Број: 00750241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</si>
  <si>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заједничке послове
Број: 00750240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</si>
  <si>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инспекцијске послове</t>
    </r>
    <r>
      <rPr>
        <sz val="11"/>
        <rFont val="Times New Roman"/>
        <family val="1"/>
      </rPr>
      <t xml:space="preserve">
 </t>
    </r>
    <r>
      <rPr>
        <b/>
        <sz val="11"/>
        <rFont val="Times New Roman"/>
        <family val="1"/>
      </rPr>
      <t xml:space="preserve">  Број: 00750220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</si>
  <si>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борачко-инвалидску заштиту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00750180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</si>
  <si>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стамбено- комуналне послове и инвестиције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00750170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</si>
  <si>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просторно уређење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00750160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</si>
  <si>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локални економски развој и друштвене дјелатности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00750150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</si>
  <si>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финансије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</si>
  <si>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општу управу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00750130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</si>
  <si>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цивилну заштиту
Број: 00750126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</si>
  <si>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 xml:space="preserve">Територијална ватрогасна јединица Прњавор
Број: 00750125 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</si>
  <si>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Кабинет начелника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00750120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</si>
  <si>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Скупштина општине и стручна служба СО-е
Број: 00750110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</si>
  <si>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Гимназија Прњавор
Број: 08150026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</si>
  <si>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средњих школа "Иво Андрић" Прњавор
Број: 08150027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</si>
  <si>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за културу Прњавор
Број: 08180011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</si>
  <si>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ЈУ Народна библиотека Прњавор
Број: 08180068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</si>
  <si>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Музичка школа "Константин Бабић " Прњавор
Број: 08400005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</si>
  <si>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Остала буџетска потрошња 
Број:  00750190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</si>
  <si>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Трезор општине Прњавор број:  9999999</t>
    </r>
  </si>
  <si>
    <t>Приходи општинских органа управе</t>
  </si>
  <si>
    <t>А) Приходи од пружања јавних услуга - Општинских органа управе</t>
  </si>
  <si>
    <r>
      <t xml:space="preserve">Б) </t>
    </r>
    <r>
      <rPr>
        <b/>
        <sz val="10"/>
        <rFont val="Times New Roman"/>
        <family val="1"/>
      </rPr>
      <t>Приходи од пружања јавних услуга</t>
    </r>
    <r>
      <rPr>
        <b/>
        <i/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>ЈУ Дом здравља Прњавор</t>
    </r>
  </si>
  <si>
    <t>В) Приходи од пружања јавних услуга - Остали буџетски корисници</t>
  </si>
  <si>
    <r>
      <t xml:space="preserve">Приходи од закупа унутар исте јединице власти - </t>
    </r>
    <r>
      <rPr>
        <b/>
        <sz val="10"/>
        <rFont val="Times New Roman"/>
        <family val="1"/>
      </rPr>
      <t>ЈЗУ Дом здравља</t>
    </r>
  </si>
  <si>
    <r>
      <t xml:space="preserve">Приходи из трансакција размјене унутар исте јединице власти - </t>
    </r>
    <r>
      <rPr>
        <b/>
        <sz val="10"/>
        <rFont val="Times New Roman"/>
        <family val="1"/>
      </rPr>
      <t>ЈЗУ Дом здравља</t>
    </r>
  </si>
  <si>
    <t>Контрол-РАСХОДИ</t>
  </si>
  <si>
    <t>Издаци-финансиранје</t>
  </si>
  <si>
    <r>
      <t>Набавка опреме</t>
    </r>
    <r>
      <rPr>
        <b/>
        <sz val="10"/>
        <color indexed="10"/>
        <rFont val="Times New Roman"/>
        <family val="1"/>
      </rPr>
      <t xml:space="preserve"> </t>
    </r>
  </si>
  <si>
    <t>Изградња спортске дворане</t>
  </si>
  <si>
    <t>Приходи од комерцијалних здравствених услуга</t>
  </si>
  <si>
    <t>Изградња парка у Улици Вељка Миланковића</t>
  </si>
  <si>
    <t>Дознаке на име соц. заштите које се исплаћују из буџета  општине</t>
  </si>
  <si>
    <t>Једнократне помоћи за свако рођено дијете</t>
  </si>
  <si>
    <t>Средства за пројекат "Старење и здравље"</t>
  </si>
  <si>
    <t xml:space="preserve">Средства за имплементацију и суфинансирање пројеката предвиђених Стратегијом развоја општине Прњавор 2022-2028. година </t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</si>
  <si>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ЈЗУ Дом здравља Прњавор
Број: 00750700</t>
    </r>
  </si>
  <si>
    <t xml:space="preserve"> Н а ц р т</t>
  </si>
  <si>
    <t xml:space="preserve">      Прњавор, децембар 2021. гoдине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</si>
</sst>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0.0"/>
    <numFmt numFmtId="187" formatCode="#,##0.00;[Red]#,##0.00"/>
    <numFmt numFmtId="188" formatCode="0.000000000"/>
    <numFmt numFmtId="189" formatCode="0.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sz val="12"/>
      <name val="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/>
      <right style="thin"/>
      <top style="thin"/>
      <bottom/>
    </border>
    <border>
      <left style="double"/>
      <right/>
      <top>
        <color indexed="63"/>
      </top>
      <bottom>
        <color indexed="63"/>
      </bottom>
    </border>
    <border>
      <left/>
      <right style="thin"/>
      <top/>
      <bottom/>
    </border>
    <border>
      <left style="double"/>
      <right/>
      <top>
        <color indexed="63"/>
      </top>
      <bottom style="thin"/>
    </border>
    <border>
      <left/>
      <right style="thin"/>
      <top/>
      <bottom style="thin"/>
    </border>
    <border>
      <left style="double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thin"/>
      <bottom style="double"/>
    </border>
    <border>
      <left style="double"/>
      <right/>
      <top style="thin"/>
      <bottom style="double"/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" fontId="2" fillId="0" borderId="0" xfId="0" applyNumberFormat="1" applyFont="1" applyAlignment="1">
      <alignment/>
    </xf>
    <xf numFmtId="4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5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13" borderId="11" xfId="0" applyFont="1" applyFill="1" applyBorder="1" applyAlignment="1">
      <alignment horizontal="left" vertical="center"/>
    </xf>
    <xf numFmtId="4" fontId="20" fillId="13" borderId="11" xfId="0" applyNumberFormat="1" applyFont="1" applyFill="1" applyBorder="1" applyAlignment="1">
      <alignment horizontal="right" vertical="center"/>
    </xf>
    <xf numFmtId="4" fontId="20" fillId="13" borderId="12" xfId="0" applyNumberFormat="1" applyFont="1" applyFill="1" applyBorder="1" applyAlignment="1">
      <alignment horizontal="right" vertical="center"/>
    </xf>
    <xf numFmtId="4" fontId="20" fillId="13" borderId="13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left" vertical="center"/>
    </xf>
    <xf numFmtId="4" fontId="20" fillId="34" borderId="11" xfId="0" applyNumberFormat="1" applyFont="1" applyFill="1" applyBorder="1" applyAlignment="1">
      <alignment horizontal="right" vertical="center"/>
    </xf>
    <xf numFmtId="4" fontId="20" fillId="35" borderId="11" xfId="0" applyNumberFormat="1" applyFont="1" applyFill="1" applyBorder="1" applyAlignment="1">
      <alignment horizontal="right" vertical="center"/>
    </xf>
    <xf numFmtId="4" fontId="20" fillId="35" borderId="12" xfId="0" applyNumberFormat="1" applyFont="1" applyFill="1" applyBorder="1" applyAlignment="1">
      <alignment horizontal="right" vertical="center"/>
    </xf>
    <xf numFmtId="4" fontId="20" fillId="34" borderId="13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4" fontId="20" fillId="36" borderId="11" xfId="0" applyNumberFormat="1" applyFont="1" applyFill="1" applyBorder="1" applyAlignment="1">
      <alignment horizontal="right" vertical="center"/>
    </xf>
    <xf numFmtId="4" fontId="20" fillId="37" borderId="11" xfId="0" applyNumberFormat="1" applyFont="1" applyFill="1" applyBorder="1" applyAlignment="1">
      <alignment horizontal="right" vertical="center"/>
    </xf>
    <xf numFmtId="4" fontId="20" fillId="37" borderId="12" xfId="0" applyNumberFormat="1" applyFont="1" applyFill="1" applyBorder="1" applyAlignment="1">
      <alignment horizontal="right" vertical="center"/>
    </xf>
    <xf numFmtId="4" fontId="20" fillId="37" borderId="13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4" fontId="23" fillId="38" borderId="11" xfId="0" applyNumberFormat="1" applyFont="1" applyFill="1" applyBorder="1" applyAlignment="1">
      <alignment horizontal="right" vertical="center"/>
    </xf>
    <xf numFmtId="4" fontId="23" fillId="38" borderId="12" xfId="0" applyNumberFormat="1" applyFont="1" applyFill="1" applyBorder="1" applyAlignment="1">
      <alignment horizontal="right" vertical="center"/>
    </xf>
    <xf numFmtId="4" fontId="23" fillId="38" borderId="13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38" borderId="11" xfId="0" applyNumberFormat="1" applyFont="1" applyFill="1" applyBorder="1" applyAlignment="1">
      <alignment horizontal="right" vertical="center"/>
    </xf>
    <xf numFmtId="4" fontId="20" fillId="38" borderId="13" xfId="0" applyNumberFormat="1" applyFont="1" applyFill="1" applyBorder="1" applyAlignment="1">
      <alignment horizontal="right" vertical="center"/>
    </xf>
    <xf numFmtId="4" fontId="20" fillId="0" borderId="11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/>
    </xf>
    <xf numFmtId="4" fontId="20" fillId="36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right" vertical="center"/>
    </xf>
    <xf numFmtId="4" fontId="23" fillId="0" borderId="13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horizontal="left" vertical="center" wrapText="1"/>
    </xf>
    <xf numFmtId="0" fontId="20" fillId="13" borderId="11" xfId="0" applyFont="1" applyFill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0" fillId="13" borderId="14" xfId="0" applyFont="1" applyFill="1" applyBorder="1" applyAlignment="1">
      <alignment vertical="center" wrapText="1"/>
    </xf>
    <xf numFmtId="4" fontId="20" fillId="13" borderId="14" xfId="0" applyNumberFormat="1" applyFont="1" applyFill="1" applyBorder="1" applyAlignment="1">
      <alignment horizontal="right" vertical="center" wrapText="1"/>
    </xf>
    <xf numFmtId="4" fontId="20" fillId="13" borderId="14" xfId="0" applyNumberFormat="1" applyFont="1" applyFill="1" applyBorder="1" applyAlignment="1">
      <alignment horizontal="right" vertical="center"/>
    </xf>
    <xf numFmtId="4" fontId="20" fillId="13" borderId="15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4" fontId="23" fillId="0" borderId="0" xfId="0" applyNumberFormat="1" applyFont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Alignment="1">
      <alignment horizontal="left"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 vertical="center" wrapText="1"/>
    </xf>
    <xf numFmtId="4" fontId="2" fillId="38" borderId="0" xfId="0" applyNumberFormat="1" applyFont="1" applyFill="1" applyBorder="1" applyAlignment="1">
      <alignment horizontal="right" vertical="center" wrapText="1"/>
    </xf>
    <xf numFmtId="4" fontId="21" fillId="38" borderId="0" xfId="0" applyNumberFormat="1" applyFont="1" applyFill="1" applyBorder="1" applyAlignment="1">
      <alignment horizontal="right" vertical="center"/>
    </xf>
    <xf numFmtId="4" fontId="23" fillId="38" borderId="11" xfId="0" applyNumberFormat="1" applyFont="1" applyFill="1" applyBorder="1" applyAlignment="1">
      <alignment horizontal="right" vertical="center"/>
    </xf>
    <xf numFmtId="0" fontId="23" fillId="38" borderId="10" xfId="0" applyFont="1" applyFill="1" applyBorder="1" applyAlignment="1">
      <alignment horizontal="right" vertical="center"/>
    </xf>
    <xf numFmtId="0" fontId="23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4" fontId="27" fillId="39" borderId="24" xfId="0" applyNumberFormat="1" applyFont="1" applyFill="1" applyBorder="1" applyAlignment="1">
      <alignment horizontal="right" vertical="center"/>
    </xf>
    <xf numFmtId="4" fontId="27" fillId="39" borderId="25" xfId="0" applyNumberFormat="1" applyFont="1" applyFill="1" applyBorder="1" applyAlignment="1">
      <alignment horizontal="right" vertical="center"/>
    </xf>
    <xf numFmtId="4" fontId="23" fillId="39" borderId="26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 wrapText="1"/>
    </xf>
    <xf numFmtId="4" fontId="27" fillId="38" borderId="25" xfId="0" applyNumberFormat="1" applyFont="1" applyFill="1" applyBorder="1" applyAlignment="1">
      <alignment horizontal="right" vertical="center"/>
    </xf>
    <xf numFmtId="4" fontId="27" fillId="39" borderId="11" xfId="0" applyNumberFormat="1" applyFont="1" applyFill="1" applyBorder="1" applyAlignment="1">
      <alignment horizontal="right" vertical="center"/>
    </xf>
    <xf numFmtId="4" fontId="23" fillId="39" borderId="13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25" xfId="0" applyNumberFormat="1" applyFont="1" applyFill="1" applyBorder="1" applyAlignment="1">
      <alignment horizontal="right" vertical="center"/>
    </xf>
    <xf numFmtId="4" fontId="23" fillId="0" borderId="12" xfId="0" applyNumberFormat="1" applyFont="1" applyFill="1" applyBorder="1" applyAlignment="1">
      <alignment horizontal="right" vertical="center"/>
    </xf>
    <xf numFmtId="4" fontId="23" fillId="0" borderId="25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4" fontId="28" fillId="34" borderId="27" xfId="0" applyNumberFormat="1" applyFont="1" applyFill="1" applyBorder="1" applyAlignment="1">
      <alignment horizontal="right" vertical="center"/>
    </xf>
    <xf numFmtId="4" fontId="28" fillId="35" borderId="25" xfId="0" applyNumberFormat="1" applyFont="1" applyFill="1" applyBorder="1" applyAlignment="1">
      <alignment horizontal="right" vertical="center"/>
    </xf>
    <xf numFmtId="4" fontId="20" fillId="35" borderId="28" xfId="0" applyNumberFormat="1" applyFont="1" applyFill="1" applyBorder="1" applyAlignment="1">
      <alignment horizontal="right" vertical="center"/>
    </xf>
    <xf numFmtId="4" fontId="27" fillId="0" borderId="19" xfId="0" applyNumberFormat="1" applyFont="1" applyFill="1" applyBorder="1" applyAlignment="1">
      <alignment vertical="center"/>
    </xf>
    <xf numFmtId="4" fontId="27" fillId="0" borderId="2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vertical="center"/>
    </xf>
    <xf numFmtId="4" fontId="27" fillId="0" borderId="21" xfId="0" applyNumberFormat="1" applyFont="1" applyFill="1" applyBorder="1" applyAlignment="1">
      <alignment horizontal="right" vertical="center"/>
    </xf>
    <xf numFmtId="4" fontId="27" fillId="0" borderId="22" xfId="0" applyNumberFormat="1" applyFont="1" applyFill="1" applyBorder="1" applyAlignment="1">
      <alignment vertical="center"/>
    </xf>
    <xf numFmtId="4" fontId="27" fillId="0" borderId="23" xfId="0" applyNumberFormat="1" applyFont="1" applyFill="1" applyBorder="1" applyAlignment="1">
      <alignment horizontal="right" vertical="center"/>
    </xf>
    <xf numFmtId="4" fontId="27" fillId="0" borderId="24" xfId="0" applyNumberFormat="1" applyFont="1" applyFill="1" applyBorder="1" applyAlignment="1">
      <alignment vertical="center"/>
    </xf>
    <xf numFmtId="4" fontId="27" fillId="38" borderId="24" xfId="0" applyNumberFormat="1" applyFont="1" applyFill="1" applyBorder="1" applyAlignment="1">
      <alignment horizontal="right" vertical="center"/>
    </xf>
    <xf numFmtId="0" fontId="23" fillId="38" borderId="11" xfId="0" applyFont="1" applyFill="1" applyBorder="1" applyAlignment="1">
      <alignment horizontal="left" vertical="center" wrapText="1"/>
    </xf>
    <xf numFmtId="4" fontId="28" fillId="34" borderId="11" xfId="0" applyNumberFormat="1" applyFont="1" applyFill="1" applyBorder="1" applyAlignment="1">
      <alignment horizontal="right" vertical="center"/>
    </xf>
    <xf numFmtId="4" fontId="20" fillId="35" borderId="13" xfId="0" applyNumberFormat="1" applyFont="1" applyFill="1" applyBorder="1" applyAlignment="1">
      <alignment horizontal="right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2" fontId="23" fillId="39" borderId="26" xfId="0" applyNumberFormat="1" applyFont="1" applyFill="1" applyBorder="1" applyAlignment="1">
      <alignment horizontal="right" vertical="center"/>
    </xf>
    <xf numFmtId="2" fontId="23" fillId="38" borderId="13" xfId="0" applyNumberFormat="1" applyFont="1" applyFill="1" applyBorder="1" applyAlignment="1">
      <alignment horizontal="right" vertical="center"/>
    </xf>
    <xf numFmtId="4" fontId="27" fillId="39" borderId="12" xfId="0" applyNumberFormat="1" applyFont="1" applyFill="1" applyBorder="1" applyAlignment="1">
      <alignment horizontal="right" vertical="center"/>
    </xf>
    <xf numFmtId="2" fontId="23" fillId="39" borderId="13" xfId="0" applyNumberFormat="1" applyFont="1" applyFill="1" applyBorder="1" applyAlignment="1">
      <alignment horizontal="right" vertical="center"/>
    </xf>
    <xf numFmtId="2" fontId="20" fillId="35" borderId="13" xfId="0" applyNumberFormat="1" applyFont="1" applyFill="1" applyBorder="1" applyAlignment="1">
      <alignment horizontal="right" vertical="center"/>
    </xf>
    <xf numFmtId="4" fontId="28" fillId="0" borderId="19" xfId="0" applyNumberFormat="1" applyFont="1" applyFill="1" applyBorder="1" applyAlignment="1">
      <alignment vertical="center"/>
    </xf>
    <xf numFmtId="4" fontId="28" fillId="0" borderId="2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8" fillId="0" borderId="21" xfId="0" applyNumberFormat="1" applyFont="1" applyFill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4" fontId="27" fillId="38" borderId="11" xfId="0" applyNumberFormat="1" applyFont="1" applyFill="1" applyBorder="1" applyAlignment="1">
      <alignment horizontal="right" vertical="center"/>
    </xf>
    <xf numFmtId="4" fontId="27" fillId="38" borderId="12" xfId="0" applyNumberFormat="1" applyFont="1" applyFill="1" applyBorder="1" applyAlignment="1">
      <alignment horizontal="right" vertical="center"/>
    </xf>
    <xf numFmtId="4" fontId="78" fillId="38" borderId="25" xfId="0" applyNumberFormat="1" applyFont="1" applyFill="1" applyBorder="1" applyAlignment="1">
      <alignment horizontal="right" vertical="center"/>
    </xf>
    <xf numFmtId="4" fontId="23" fillId="38" borderId="25" xfId="0" applyNumberFormat="1" applyFont="1" applyFill="1" applyBorder="1" applyAlignment="1">
      <alignment horizontal="righ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horizontal="right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38" borderId="11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4" fontId="27" fillId="37" borderId="12" xfId="0" applyNumberFormat="1" applyFont="1" applyFill="1" applyBorder="1" applyAlignment="1">
      <alignment horizontal="right" vertical="center"/>
    </xf>
    <xf numFmtId="4" fontId="27" fillId="37" borderId="25" xfId="0" applyNumberFormat="1" applyFont="1" applyFill="1" applyBorder="1" applyAlignment="1">
      <alignment horizontal="right" vertical="center"/>
    </xf>
    <xf numFmtId="4" fontId="23" fillId="37" borderId="13" xfId="0" applyNumberFormat="1" applyFont="1" applyFill="1" applyBorder="1" applyAlignment="1">
      <alignment horizontal="right" vertical="center"/>
    </xf>
    <xf numFmtId="49" fontId="23" fillId="33" borderId="35" xfId="0" applyNumberFormat="1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right" vertical="center"/>
    </xf>
    <xf numFmtId="0" fontId="23" fillId="33" borderId="24" xfId="0" applyFont="1" applyFill="1" applyBorder="1" applyAlignment="1">
      <alignment vertical="center" wrapText="1"/>
    </xf>
    <xf numFmtId="4" fontId="23" fillId="38" borderId="26" xfId="0" applyNumberFormat="1" applyFont="1" applyFill="1" applyBorder="1" applyAlignment="1">
      <alignment horizontal="right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right" vertical="center"/>
    </xf>
    <xf numFmtId="4" fontId="23" fillId="39" borderId="12" xfId="0" applyNumberFormat="1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vertical="center"/>
    </xf>
    <xf numFmtId="49" fontId="20" fillId="0" borderId="16" xfId="0" applyNumberFormat="1" applyFont="1" applyBorder="1" applyAlignment="1">
      <alignment horizontal="center" vertical="center"/>
    </xf>
    <xf numFmtId="4" fontId="27" fillId="40" borderId="11" xfId="0" applyNumberFormat="1" applyFont="1" applyFill="1" applyBorder="1" applyAlignment="1">
      <alignment vertical="center"/>
    </xf>
    <xf numFmtId="4" fontId="27" fillId="40" borderId="11" xfId="0" applyNumberFormat="1" applyFont="1" applyFill="1" applyBorder="1" applyAlignment="1">
      <alignment horizontal="right" vertical="center"/>
    </xf>
    <xf numFmtId="4" fontId="27" fillId="40" borderId="13" xfId="0" applyNumberFormat="1" applyFont="1" applyFill="1" applyBorder="1" applyAlignment="1">
      <alignment horizontal="right" vertical="center"/>
    </xf>
    <xf numFmtId="4" fontId="27" fillId="0" borderId="11" xfId="0" applyNumberFormat="1" applyFont="1" applyBorder="1" applyAlignment="1">
      <alignment vertical="center"/>
    </xf>
    <xf numFmtId="4" fontId="78" fillId="0" borderId="11" xfId="0" applyNumberFormat="1" applyFont="1" applyBorder="1" applyAlignment="1">
      <alignment vertical="center"/>
    </xf>
    <xf numFmtId="4" fontId="27" fillId="0" borderId="13" xfId="0" applyNumberFormat="1" applyFont="1" applyBorder="1" applyAlignment="1">
      <alignment horizontal="right" vertical="center"/>
    </xf>
    <xf numFmtId="49" fontId="23" fillId="38" borderId="11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wrapText="1"/>
    </xf>
    <xf numFmtId="4" fontId="28" fillId="35" borderId="11" xfId="0" applyNumberFormat="1" applyFont="1" applyFill="1" applyBorder="1" applyAlignment="1">
      <alignment horizontal="right" vertical="center"/>
    </xf>
    <xf numFmtId="4" fontId="28" fillId="35" borderId="13" xfId="0" applyNumberFormat="1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left" vertical="center" wrapText="1"/>
    </xf>
    <xf numFmtId="4" fontId="27" fillId="39" borderId="12" xfId="0" applyNumberFormat="1" applyFont="1" applyFill="1" applyBorder="1" applyAlignment="1">
      <alignment horizontal="right" vertical="center" wrapText="1"/>
    </xf>
    <xf numFmtId="4" fontId="27" fillId="39" borderId="11" xfId="0" applyNumberFormat="1" applyFont="1" applyFill="1" applyBorder="1" applyAlignment="1">
      <alignment horizontal="right" vertical="center" wrapText="1"/>
    </xf>
    <xf numFmtId="49" fontId="78" fillId="0" borderId="16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right" vertical="center"/>
    </xf>
    <xf numFmtId="2" fontId="20" fillId="0" borderId="21" xfId="0" applyNumberFormat="1" applyFont="1" applyFill="1" applyBorder="1" applyAlignment="1">
      <alignment horizontal="right" vertical="center"/>
    </xf>
    <xf numFmtId="2" fontId="20" fillId="0" borderId="23" xfId="0" applyNumberFormat="1" applyFont="1" applyFill="1" applyBorder="1" applyAlignment="1">
      <alignment horizontal="right" vertical="center"/>
    </xf>
    <xf numFmtId="2" fontId="23" fillId="0" borderId="13" xfId="0" applyNumberFormat="1" applyFont="1" applyFill="1" applyBorder="1" applyAlignment="1">
      <alignment horizontal="right" vertical="center"/>
    </xf>
    <xf numFmtId="4" fontId="27" fillId="41" borderId="25" xfId="0" applyNumberFormat="1" applyFont="1" applyFill="1" applyBorder="1" applyAlignment="1">
      <alignment horizontal="right" vertical="center"/>
    </xf>
    <xf numFmtId="2" fontId="23" fillId="41" borderId="13" xfId="0" applyNumberFormat="1" applyFont="1" applyFill="1" applyBorder="1" applyAlignment="1">
      <alignment horizontal="right" vertical="center"/>
    </xf>
    <xf numFmtId="4" fontId="29" fillId="33" borderId="36" xfId="0" applyNumberFormat="1" applyFont="1" applyFill="1" applyBorder="1" applyAlignment="1">
      <alignment vertical="center"/>
    </xf>
    <xf numFmtId="4" fontId="29" fillId="33" borderId="37" xfId="0" applyNumberFormat="1" applyFont="1" applyFill="1" applyBorder="1" applyAlignment="1">
      <alignment horizontal="right" vertical="center"/>
    </xf>
    <xf numFmtId="0" fontId="29" fillId="33" borderId="11" xfId="0" applyFont="1" applyFill="1" applyBorder="1" applyAlignment="1">
      <alignment horizontal="center" vertical="center" wrapText="1"/>
    </xf>
    <xf numFmtId="1" fontId="23" fillId="33" borderId="11" xfId="0" applyNumberFormat="1" applyFont="1" applyFill="1" applyBorder="1" applyAlignment="1">
      <alignment horizontal="right" vertical="center" wrapText="1"/>
    </xf>
    <xf numFmtId="1" fontId="23" fillId="33" borderId="11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9" fontId="20" fillId="38" borderId="11" xfId="0" applyNumberFormat="1" applyFont="1" applyFill="1" applyBorder="1" applyAlignment="1">
      <alignment horizontal="center" vertical="center"/>
    </xf>
    <xf numFmtId="49" fontId="23" fillId="38" borderId="10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right" vertical="center"/>
    </xf>
    <xf numFmtId="49" fontId="23" fillId="38" borderId="16" xfId="0" applyNumberFormat="1" applyFont="1" applyFill="1" applyBorder="1" applyAlignment="1">
      <alignment horizontal="center" vertical="center"/>
    </xf>
    <xf numFmtId="2" fontId="23" fillId="37" borderId="13" xfId="0" applyNumberFormat="1" applyFont="1" applyFill="1" applyBorder="1" applyAlignment="1">
      <alignment horizontal="right" vertical="center"/>
    </xf>
    <xf numFmtId="2" fontId="20" fillId="37" borderId="13" xfId="0" applyNumberFormat="1" applyFont="1" applyFill="1" applyBorder="1" applyAlignment="1">
      <alignment horizontal="right" vertical="center"/>
    </xf>
    <xf numFmtId="4" fontId="23" fillId="37" borderId="12" xfId="0" applyNumberFormat="1" applyFont="1" applyFill="1" applyBorder="1" applyAlignment="1">
      <alignment horizontal="right" vertical="center"/>
    </xf>
    <xf numFmtId="4" fontId="28" fillId="0" borderId="22" xfId="0" applyNumberFormat="1" applyFont="1" applyFill="1" applyBorder="1" applyAlignment="1">
      <alignment vertical="center"/>
    </xf>
    <xf numFmtId="4" fontId="28" fillId="0" borderId="23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2" fontId="23" fillId="33" borderId="26" xfId="0" applyNumberFormat="1" applyFont="1" applyFill="1" applyBorder="1" applyAlignment="1">
      <alignment horizontal="right" vertical="center"/>
    </xf>
    <xf numFmtId="4" fontId="28" fillId="34" borderId="14" xfId="0" applyNumberFormat="1" applyFont="1" applyFill="1" applyBorder="1" applyAlignment="1">
      <alignment horizontal="right" vertical="center"/>
    </xf>
    <xf numFmtId="4" fontId="28" fillId="35" borderId="14" xfId="0" applyNumberFormat="1" applyFont="1" applyFill="1" applyBorder="1" applyAlignment="1">
      <alignment horizontal="right" vertical="center"/>
    </xf>
    <xf numFmtId="2" fontId="20" fillId="35" borderId="15" xfId="0" applyNumberFormat="1" applyFont="1" applyFill="1" applyBorder="1" applyAlignment="1">
      <alignment horizontal="right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3" fillId="0" borderId="11" xfId="0" applyFont="1" applyBorder="1" applyAlignment="1">
      <alignment/>
    </xf>
    <xf numFmtId="0" fontId="23" fillId="33" borderId="16" xfId="0" applyFont="1" applyFill="1" applyBorder="1" applyAlignment="1">
      <alignment horizontal="right" vertical="center"/>
    </xf>
    <xf numFmtId="0" fontId="20" fillId="42" borderId="11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0" fillId="37" borderId="11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0" fillId="38" borderId="11" xfId="0" applyFont="1" applyFill="1" applyBorder="1" applyAlignment="1">
      <alignment horizontal="left" vertical="center" wrapText="1"/>
    </xf>
    <xf numFmtId="0" fontId="23" fillId="0" borderId="16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vertical="center" wrapText="1"/>
    </xf>
    <xf numFmtId="0" fontId="20" fillId="38" borderId="40" xfId="0" applyFont="1" applyFill="1" applyBorder="1" applyAlignment="1">
      <alignment horizontal="center" vertical="center"/>
    </xf>
    <xf numFmtId="0" fontId="20" fillId="13" borderId="14" xfId="0" applyFont="1" applyFill="1" applyBorder="1" applyAlignment="1">
      <alignment horizontal="left" vertical="center"/>
    </xf>
    <xf numFmtId="0" fontId="20" fillId="0" borderId="41" xfId="0" applyFont="1" applyBorder="1" applyAlignment="1">
      <alignment horizontal="center" vertical="center"/>
    </xf>
    <xf numFmtId="2" fontId="20" fillId="0" borderId="41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vertical="center"/>
    </xf>
    <xf numFmtId="2" fontId="20" fillId="13" borderId="13" xfId="0" applyNumberFormat="1" applyFont="1" applyFill="1" applyBorder="1" applyAlignment="1">
      <alignment horizontal="right" vertical="center"/>
    </xf>
    <xf numFmtId="0" fontId="20" fillId="42" borderId="16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right" vertical="center"/>
    </xf>
    <xf numFmtId="0" fontId="20" fillId="36" borderId="11" xfId="0" applyFont="1" applyFill="1" applyBorder="1" applyAlignment="1">
      <alignment vertical="center" wrapText="1"/>
    </xf>
    <xf numFmtId="0" fontId="23" fillId="0" borderId="11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0" fontId="20" fillId="36" borderId="11" xfId="0" applyFont="1" applyFill="1" applyBorder="1" applyAlignment="1">
      <alignment vertical="center"/>
    </xf>
    <xf numFmtId="0" fontId="20" fillId="36" borderId="11" xfId="0" applyFont="1" applyFill="1" applyBorder="1" applyAlignment="1">
      <alignment horizontal="left" vertical="center"/>
    </xf>
    <xf numFmtId="4" fontId="20" fillId="36" borderId="11" xfId="0" applyNumberFormat="1" applyFont="1" applyFill="1" applyBorder="1" applyAlignment="1">
      <alignment vertical="center"/>
    </xf>
    <xf numFmtId="4" fontId="20" fillId="36" borderId="13" xfId="0" applyNumberFormat="1" applyFont="1" applyFill="1" applyBorder="1" applyAlignment="1">
      <alignment vertical="center"/>
    </xf>
    <xf numFmtId="0" fontId="23" fillId="38" borderId="16" xfId="0" applyFont="1" applyFill="1" applyBorder="1" applyAlignment="1">
      <alignment horizontal="right" vertical="center"/>
    </xf>
    <xf numFmtId="0" fontId="20" fillId="42" borderId="11" xfId="0" applyFont="1" applyFill="1" applyBorder="1" applyAlignment="1">
      <alignment vertical="center" wrapText="1"/>
    </xf>
    <xf numFmtId="0" fontId="20" fillId="13" borderId="16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vertical="center"/>
    </xf>
    <xf numFmtId="0" fontId="23" fillId="0" borderId="40" xfId="0" applyFont="1" applyBorder="1" applyAlignment="1">
      <alignment/>
    </xf>
    <xf numFmtId="2" fontId="20" fillId="13" borderId="15" xfId="0" applyNumberFormat="1" applyFont="1" applyFill="1" applyBorder="1" applyAlignment="1">
      <alignment horizontal="right" vertical="center"/>
    </xf>
    <xf numFmtId="0" fontId="20" fillId="0" borderId="42" xfId="0" applyFont="1" applyBorder="1" applyAlignment="1">
      <alignment horizontal="center" vertical="center" wrapText="1"/>
    </xf>
    <xf numFmtId="4" fontId="20" fillId="34" borderId="12" xfId="0" applyNumberFormat="1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left" vertical="center"/>
    </xf>
    <xf numFmtId="4" fontId="23" fillId="0" borderId="12" xfId="0" applyNumberFormat="1" applyFont="1" applyFill="1" applyBorder="1" applyAlignment="1">
      <alignment horizontal="right" vertical="center" wrapText="1"/>
    </xf>
    <xf numFmtId="0" fontId="20" fillId="37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center"/>
    </xf>
    <xf numFmtId="2" fontId="20" fillId="0" borderId="43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vertical="center"/>
    </xf>
    <xf numFmtId="0" fontId="20" fillId="35" borderId="40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left" vertical="center" wrapText="1"/>
    </xf>
    <xf numFmtId="4" fontId="20" fillId="35" borderId="14" xfId="0" applyNumberFormat="1" applyFont="1" applyFill="1" applyBorder="1" applyAlignment="1">
      <alignment horizontal="right" vertical="center"/>
    </xf>
    <xf numFmtId="4" fontId="20" fillId="35" borderId="15" xfId="0" applyNumberFormat="1" applyFont="1" applyFill="1" applyBorder="1" applyAlignment="1">
      <alignment horizontal="right" vertical="center"/>
    </xf>
    <xf numFmtId="0" fontId="20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4" fontId="23" fillId="0" borderId="46" xfId="0" applyNumberFormat="1" applyFont="1" applyBorder="1" applyAlignment="1">
      <alignment horizontal="right" vertical="center"/>
    </xf>
    <xf numFmtId="2" fontId="23" fillId="0" borderId="47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4" fontId="23" fillId="0" borderId="48" xfId="0" applyNumberFormat="1" applyFont="1" applyBorder="1" applyAlignment="1">
      <alignment horizontal="right" vertical="center"/>
    </xf>
    <xf numFmtId="2" fontId="23" fillId="0" borderId="49" xfId="0" applyNumberFormat="1" applyFont="1" applyBorder="1" applyAlignment="1">
      <alignment horizontal="right" vertical="center"/>
    </xf>
    <xf numFmtId="4" fontId="20" fillId="35" borderId="50" xfId="0" applyNumberFormat="1" applyFont="1" applyFill="1" applyBorder="1" applyAlignment="1">
      <alignment horizontal="right" vertical="center"/>
    </xf>
    <xf numFmtId="4" fontId="20" fillId="35" borderId="51" xfId="0" applyNumberFormat="1" applyFont="1" applyFill="1" applyBorder="1" applyAlignment="1">
      <alignment horizontal="right" vertical="center"/>
    </xf>
    <xf numFmtId="4" fontId="23" fillId="0" borderId="25" xfId="0" applyNumberFormat="1" applyFont="1" applyFill="1" applyBorder="1" applyAlignment="1">
      <alignment vertical="center"/>
    </xf>
    <xf numFmtId="4" fontId="78" fillId="0" borderId="25" xfId="0" applyNumberFormat="1" applyFont="1" applyFill="1" applyBorder="1" applyAlignment="1">
      <alignment horizontal="right" vertical="center"/>
    </xf>
    <xf numFmtId="0" fontId="20" fillId="38" borderId="11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/>
    </xf>
    <xf numFmtId="0" fontId="23" fillId="38" borderId="11" xfId="0" applyFont="1" applyFill="1" applyBorder="1" applyAlignment="1">
      <alignment horizontal="right" vertical="center" wrapText="1"/>
    </xf>
    <xf numFmtId="0" fontId="20" fillId="38" borderId="11" xfId="0" applyFont="1" applyFill="1" applyBorder="1" applyAlignment="1">
      <alignment horizontal="right" vertical="center" wrapText="1"/>
    </xf>
    <xf numFmtId="4" fontId="79" fillId="0" borderId="0" xfId="0" applyNumberFormat="1" applyFont="1" applyAlignment="1">
      <alignment horizontal="right" vertical="center"/>
    </xf>
    <xf numFmtId="0" fontId="80" fillId="0" borderId="0" xfId="0" applyFont="1" applyAlignment="1">
      <alignment vertical="center"/>
    </xf>
    <xf numFmtId="2" fontId="80" fillId="0" borderId="0" xfId="0" applyNumberFormat="1" applyFont="1" applyAlignment="1">
      <alignment vertical="center"/>
    </xf>
    <xf numFmtId="4" fontId="80" fillId="0" borderId="0" xfId="0" applyNumberFormat="1" applyFont="1" applyAlignment="1">
      <alignment vertical="center"/>
    </xf>
    <xf numFmtId="4" fontId="20" fillId="37" borderId="11" xfId="0" applyNumberFormat="1" applyFont="1" applyFill="1" applyBorder="1" applyAlignment="1">
      <alignment horizontal="right" vertical="center"/>
    </xf>
    <xf numFmtId="4" fontId="23" fillId="38" borderId="13" xfId="0" applyNumberFormat="1" applyFont="1" applyFill="1" applyBorder="1" applyAlignment="1">
      <alignment horizontal="right" vertical="center"/>
    </xf>
    <xf numFmtId="4" fontId="20" fillId="43" borderId="13" xfId="0" applyNumberFormat="1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0" fontId="23" fillId="0" borderId="11" xfId="0" applyFont="1" applyBorder="1" applyAlignment="1">
      <alignment vertical="center" wrapText="1"/>
    </xf>
    <xf numFmtId="4" fontId="23" fillId="38" borderId="25" xfId="0" applyNumberFormat="1" applyFont="1" applyFill="1" applyBorder="1" applyAlignment="1">
      <alignment horizontal="right" vertical="center"/>
    </xf>
    <xf numFmtId="4" fontId="27" fillId="38" borderId="25" xfId="0" applyNumberFormat="1" applyFont="1" applyFill="1" applyBorder="1" applyAlignment="1">
      <alignment horizontal="right" vertical="center"/>
    </xf>
    <xf numFmtId="2" fontId="23" fillId="38" borderId="13" xfId="0" applyNumberFormat="1" applyFont="1" applyFill="1" applyBorder="1" applyAlignment="1">
      <alignment horizontal="right" vertical="center"/>
    </xf>
    <xf numFmtId="4" fontId="30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 horizontal="right"/>
    </xf>
    <xf numFmtId="0" fontId="20" fillId="33" borderId="24" xfId="0" applyFont="1" applyFill="1" applyBorder="1" applyAlignment="1">
      <alignment vertical="center" wrapText="1"/>
    </xf>
    <xf numFmtId="4" fontId="20" fillId="37" borderId="25" xfId="0" applyNumberFormat="1" applyFont="1" applyFill="1" applyBorder="1" applyAlignment="1">
      <alignment horizontal="right" vertical="center"/>
    </xf>
    <xf numFmtId="4" fontId="28" fillId="37" borderId="25" xfId="0" applyNumberFormat="1" applyFont="1" applyFill="1" applyBorder="1" applyAlignment="1">
      <alignment horizontal="right" vertical="center"/>
    </xf>
    <xf numFmtId="4" fontId="20" fillId="37" borderId="26" xfId="0" applyNumberFormat="1" applyFont="1" applyFill="1" applyBorder="1" applyAlignment="1">
      <alignment horizontal="right" vertical="center"/>
    </xf>
    <xf numFmtId="4" fontId="28" fillId="38" borderId="12" xfId="0" applyNumberFormat="1" applyFont="1" applyFill="1" applyBorder="1" applyAlignment="1">
      <alignment horizontal="right" vertical="center"/>
    </xf>
    <xf numFmtId="4" fontId="28" fillId="38" borderId="36" xfId="0" applyNumberFormat="1" applyFont="1" applyFill="1" applyBorder="1" applyAlignment="1">
      <alignment horizontal="right" vertical="center"/>
    </xf>
    <xf numFmtId="4" fontId="28" fillId="38" borderId="36" xfId="0" applyNumberFormat="1" applyFont="1" applyFill="1" applyBorder="1" applyAlignment="1">
      <alignment horizontal="right" vertical="center"/>
    </xf>
    <xf numFmtId="4" fontId="27" fillId="38" borderId="24" xfId="0" applyNumberFormat="1" applyFont="1" applyFill="1" applyBorder="1" applyAlignment="1">
      <alignment horizontal="right" vertical="center"/>
    </xf>
    <xf numFmtId="2" fontId="23" fillId="38" borderId="26" xfId="0" applyNumberFormat="1" applyFont="1" applyFill="1" applyBorder="1" applyAlignment="1">
      <alignment horizontal="right" vertical="center"/>
    </xf>
    <xf numFmtId="2" fontId="20" fillId="38" borderId="37" xfId="0" applyNumberFormat="1" applyFont="1" applyFill="1" applyBorder="1" applyAlignment="1">
      <alignment horizontal="right" vertical="center"/>
    </xf>
    <xf numFmtId="4" fontId="28" fillId="41" borderId="24" xfId="0" applyNumberFormat="1" applyFont="1" applyFill="1" applyBorder="1" applyAlignment="1">
      <alignment horizontal="right" vertical="center"/>
    </xf>
    <xf numFmtId="2" fontId="20" fillId="41" borderId="26" xfId="0" applyNumberFormat="1" applyFont="1" applyFill="1" applyBorder="1" applyAlignment="1">
      <alignment horizontal="right" vertical="center"/>
    </xf>
    <xf numFmtId="49" fontId="2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wrapText="1"/>
    </xf>
    <xf numFmtId="0" fontId="34" fillId="38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4" fontId="28" fillId="41" borderId="11" xfId="0" applyNumberFormat="1" applyFont="1" applyFill="1" applyBorder="1" applyAlignment="1">
      <alignment horizontal="right" vertical="center"/>
    </xf>
    <xf numFmtId="4" fontId="27" fillId="41" borderId="24" xfId="0" applyNumberFormat="1" applyFont="1" applyFill="1" applyBorder="1" applyAlignment="1">
      <alignment horizontal="right" vertical="center"/>
    </xf>
    <xf numFmtId="2" fontId="23" fillId="41" borderId="26" xfId="0" applyNumberFormat="1" applyFont="1" applyFill="1" applyBorder="1" applyAlignment="1">
      <alignment horizontal="right" vertical="center"/>
    </xf>
    <xf numFmtId="4" fontId="28" fillId="41" borderId="11" xfId="0" applyNumberFormat="1" applyFont="1" applyFill="1" applyBorder="1" applyAlignment="1">
      <alignment horizontal="right" vertical="center"/>
    </xf>
    <xf numFmtId="4" fontId="28" fillId="35" borderId="11" xfId="0" applyNumberFormat="1" applyFont="1" applyFill="1" applyBorder="1" applyAlignment="1">
      <alignment horizontal="right" vertical="center"/>
    </xf>
    <xf numFmtId="4" fontId="28" fillId="35" borderId="24" xfId="0" applyNumberFormat="1" applyFont="1" applyFill="1" applyBorder="1" applyAlignment="1">
      <alignment horizontal="right" vertical="center"/>
    </xf>
    <xf numFmtId="2" fontId="20" fillId="35" borderId="26" xfId="0" applyNumberFormat="1" applyFont="1" applyFill="1" applyBorder="1" applyAlignment="1">
      <alignment horizontal="right" vertical="center"/>
    </xf>
    <xf numFmtId="4" fontId="27" fillId="38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right" vertical="center"/>
    </xf>
    <xf numFmtId="4" fontId="20" fillId="37" borderId="13" xfId="0" applyNumberFormat="1" applyFont="1" applyFill="1" applyBorder="1" applyAlignment="1">
      <alignment horizontal="right" vertical="center"/>
    </xf>
    <xf numFmtId="4" fontId="20" fillId="38" borderId="11" xfId="0" applyNumberFormat="1" applyFont="1" applyFill="1" applyBorder="1" applyAlignment="1">
      <alignment horizontal="right" vertical="center"/>
    </xf>
    <xf numFmtId="4" fontId="20" fillId="38" borderId="13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/>
    </xf>
    <xf numFmtId="0" fontId="23" fillId="0" borderId="11" xfId="0" applyFont="1" applyBorder="1" applyAlignment="1">
      <alignment horizontal="left" vertical="center" wrapText="1"/>
    </xf>
    <xf numFmtId="49" fontId="23" fillId="44" borderId="16" xfId="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vertical="center"/>
    </xf>
    <xf numFmtId="0" fontId="38" fillId="0" borderId="11" xfId="0" applyFont="1" applyBorder="1" applyAlignment="1">
      <alignment horizontal="left" vertical="center" wrapText="1"/>
    </xf>
    <xf numFmtId="4" fontId="31" fillId="0" borderId="0" xfId="0" applyNumberFormat="1" applyFont="1" applyAlignment="1">
      <alignment horizontal="left"/>
    </xf>
    <xf numFmtId="0" fontId="38" fillId="0" borderId="11" xfId="0" applyFont="1" applyBorder="1" applyAlignment="1">
      <alignment horizontal="right" vertical="center"/>
    </xf>
    <xf numFmtId="0" fontId="31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0" fillId="38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left" vertical="center"/>
    </xf>
    <xf numFmtId="0" fontId="23" fillId="38" borderId="11" xfId="0" applyFont="1" applyFill="1" applyBorder="1" applyAlignment="1">
      <alignment horizontal="left" vertical="center" wrapText="1"/>
    </xf>
    <xf numFmtId="0" fontId="20" fillId="38" borderId="11" xfId="0" applyFont="1" applyFill="1" applyBorder="1" applyAlignment="1">
      <alignment horizontal="left" vertical="center"/>
    </xf>
    <xf numFmtId="0" fontId="20" fillId="38" borderId="11" xfId="0" applyFont="1" applyFill="1" applyBorder="1" applyAlignment="1">
      <alignment horizontal="left" vertical="center" wrapText="1"/>
    </xf>
    <xf numFmtId="49" fontId="38" fillId="38" borderId="11" xfId="0" applyNumberFormat="1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left" vertical="center" wrapText="1"/>
    </xf>
    <xf numFmtId="0" fontId="23" fillId="0" borderId="37" xfId="0" applyFont="1" applyBorder="1" applyAlignment="1">
      <alignment horizontal="center"/>
    </xf>
    <xf numFmtId="0" fontId="23" fillId="0" borderId="37" xfId="0" applyFont="1" applyBorder="1" applyAlignment="1">
      <alignment/>
    </xf>
    <xf numFmtId="4" fontId="20" fillId="35" borderId="37" xfId="0" applyNumberFormat="1" applyFont="1" applyFill="1" applyBorder="1" applyAlignment="1">
      <alignment horizontal="right" vertical="center"/>
    </xf>
    <xf numFmtId="4" fontId="20" fillId="37" borderId="37" xfId="0" applyNumberFormat="1" applyFont="1" applyFill="1" applyBorder="1" applyAlignment="1">
      <alignment horizontal="right" vertical="center"/>
    </xf>
    <xf numFmtId="4" fontId="23" fillId="38" borderId="37" xfId="0" applyNumberFormat="1" applyFont="1" applyFill="1" applyBorder="1" applyAlignment="1">
      <alignment horizontal="right" vertical="center"/>
    </xf>
    <xf numFmtId="4" fontId="20" fillId="0" borderId="37" xfId="0" applyNumberFormat="1" applyFont="1" applyFill="1" applyBorder="1" applyAlignment="1">
      <alignment horizontal="right" vertical="center"/>
    </xf>
    <xf numFmtId="4" fontId="23" fillId="0" borderId="37" xfId="0" applyNumberFormat="1" applyFont="1" applyBorder="1" applyAlignment="1">
      <alignment horizontal="right" vertical="center"/>
    </xf>
    <xf numFmtId="4" fontId="20" fillId="0" borderId="37" xfId="0" applyNumberFormat="1" applyFont="1" applyBorder="1" applyAlignment="1">
      <alignment horizontal="right" vertical="center"/>
    </xf>
    <xf numFmtId="4" fontId="20" fillId="38" borderId="37" xfId="0" applyNumberFormat="1" applyFont="1" applyFill="1" applyBorder="1" applyAlignment="1">
      <alignment horizontal="right" vertical="center"/>
    </xf>
    <xf numFmtId="4" fontId="23" fillId="0" borderId="37" xfId="0" applyNumberFormat="1" applyFont="1" applyFill="1" applyBorder="1" applyAlignment="1">
      <alignment horizontal="right" vertical="center"/>
    </xf>
    <xf numFmtId="4" fontId="23" fillId="38" borderId="37" xfId="0" applyNumberFormat="1" applyFont="1" applyFill="1" applyBorder="1" applyAlignment="1">
      <alignment horizontal="right" vertical="center"/>
    </xf>
    <xf numFmtId="4" fontId="23" fillId="0" borderId="20" xfId="0" applyNumberFormat="1" applyFont="1" applyFill="1" applyBorder="1" applyAlignment="1">
      <alignment horizontal="right" vertical="center"/>
    </xf>
    <xf numFmtId="4" fontId="23" fillId="0" borderId="20" xfId="0" applyNumberFormat="1" applyFont="1" applyBorder="1" applyAlignment="1">
      <alignment horizontal="right" vertical="center"/>
    </xf>
    <xf numFmtId="4" fontId="20" fillId="13" borderId="52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/>
    </xf>
    <xf numFmtId="4" fontId="23" fillId="0" borderId="27" xfId="0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vertical="center" wrapText="1"/>
    </xf>
    <xf numFmtId="4" fontId="27" fillId="0" borderId="22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0" fillId="0" borderId="31" xfId="0" applyFill="1" applyBorder="1" applyAlignment="1">
      <alignment/>
    </xf>
    <xf numFmtId="0" fontId="23" fillId="33" borderId="53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80" fillId="0" borderId="0" xfId="0" applyFont="1" applyAlignment="1">
      <alignment/>
    </xf>
    <xf numFmtId="0" fontId="20" fillId="38" borderId="10" xfId="0" applyFont="1" applyFill="1" applyBorder="1" applyAlignment="1">
      <alignment horizontal="center" vertical="center"/>
    </xf>
    <xf numFmtId="0" fontId="23" fillId="38" borderId="16" xfId="0" applyFont="1" applyFill="1" applyBorder="1" applyAlignment="1">
      <alignment horizontal="right" vertical="center"/>
    </xf>
    <xf numFmtId="4" fontId="28" fillId="35" borderId="25" xfId="0" applyNumberFormat="1" applyFont="1" applyFill="1" applyBorder="1" applyAlignment="1">
      <alignment horizontal="right" vertical="center"/>
    </xf>
    <xf numFmtId="4" fontId="28" fillId="35" borderId="12" xfId="0" applyNumberFormat="1" applyFont="1" applyFill="1" applyBorder="1" applyAlignment="1">
      <alignment horizontal="right" vertical="center"/>
    </xf>
    <xf numFmtId="0" fontId="23" fillId="38" borderId="11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/>
    </xf>
    <xf numFmtId="49" fontId="23" fillId="38" borderId="35" xfId="0" applyNumberFormat="1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3" fillId="38" borderId="24" xfId="0" applyFont="1" applyFill="1" applyBorder="1" applyAlignment="1">
      <alignment horizontal="right" vertical="center"/>
    </xf>
    <xf numFmtId="0" fontId="23" fillId="38" borderId="24" xfId="0" applyFont="1" applyFill="1" applyBorder="1" applyAlignment="1">
      <alignment vertical="center" wrapText="1"/>
    </xf>
    <xf numFmtId="4" fontId="20" fillId="35" borderId="1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4" fontId="0" fillId="0" borderId="0" xfId="0" applyNumberForma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8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12" fillId="0" borderId="5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38" borderId="42" xfId="0" applyFont="1" applyFill="1" applyBorder="1" applyAlignment="1">
      <alignment horizontal="center" vertical="center" wrapText="1"/>
    </xf>
    <xf numFmtId="0" fontId="20" fillId="38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59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  <xf numFmtId="0" fontId="29" fillId="33" borderId="60" xfId="0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35" fillId="36" borderId="24" xfId="0" applyFont="1" applyFill="1" applyBorder="1" applyAlignment="1">
      <alignment horizontal="center" vertical="center" wrapText="1"/>
    </xf>
    <xf numFmtId="0" fontId="35" fillId="36" borderId="25" xfId="0" applyFont="1" applyFill="1" applyBorder="1" applyAlignment="1">
      <alignment horizontal="center" vertical="center"/>
    </xf>
    <xf numFmtId="0" fontId="35" fillId="36" borderId="11" xfId="0" applyFont="1" applyFill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0" fontId="35" fillId="37" borderId="12" xfId="0" applyFont="1" applyFill="1" applyBorder="1" applyAlignment="1">
      <alignment horizontal="center" vertical="center" wrapText="1"/>
    </xf>
    <xf numFmtId="0" fontId="35" fillId="37" borderId="36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61" xfId="0" applyNumberFormat="1" applyFont="1" applyFill="1" applyBorder="1" applyAlignment="1">
      <alignment horizontal="center" vertical="center"/>
    </xf>
    <xf numFmtId="0" fontId="20" fillId="38" borderId="42" xfId="0" applyFont="1" applyFill="1" applyBorder="1" applyAlignment="1">
      <alignment horizontal="center" vertical="center" wrapText="1"/>
    </xf>
    <xf numFmtId="0" fontId="20" fillId="38" borderId="24" xfId="0" applyFont="1" applyFill="1" applyBorder="1" applyAlignment="1">
      <alignment horizontal="center" vertical="center" wrapText="1"/>
    </xf>
    <xf numFmtId="0" fontId="20" fillId="38" borderId="41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34" fillId="36" borderId="62" xfId="0" applyFont="1" applyFill="1" applyBorder="1" applyAlignment="1">
      <alignment horizontal="center" vertical="center" wrapText="1"/>
    </xf>
    <xf numFmtId="0" fontId="34" fillId="36" borderId="19" xfId="0" applyFont="1" applyFill="1" applyBorder="1" applyAlignment="1">
      <alignment horizontal="center" vertical="center" wrapText="1"/>
    </xf>
    <xf numFmtId="0" fontId="34" fillId="36" borderId="63" xfId="0" applyFont="1" applyFill="1" applyBorder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 wrapText="1"/>
    </xf>
    <xf numFmtId="0" fontId="34" fillId="36" borderId="22" xfId="0" applyFont="1" applyFill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61" xfId="0" applyNumberFormat="1" applyFont="1" applyFill="1" applyBorder="1" applyAlignment="1">
      <alignment horizontal="center" vertical="center"/>
    </xf>
    <xf numFmtId="0" fontId="35" fillId="36" borderId="61" xfId="0" applyFont="1" applyFill="1" applyBorder="1" applyAlignment="1">
      <alignment horizontal="center" vertical="center" wrapText="1"/>
    </xf>
    <xf numFmtId="0" fontId="34" fillId="36" borderId="24" xfId="0" applyFont="1" applyFill="1" applyBorder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11</xdr:col>
      <xdr:colOff>28575</xdr:colOff>
      <xdr:row>8</xdr:row>
      <xdr:rowOff>47625</xdr:rowOff>
    </xdr:to>
    <xdr:pic>
      <xdr:nvPicPr>
        <xdr:cNvPr id="1" name="Picture 37" descr="01 1_1  CIRI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5762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16">
      <selection activeCell="A34" sqref="A34:E34"/>
    </sheetView>
  </sheetViews>
  <sheetFormatPr defaultColWidth="9.140625" defaultRowHeight="12.75"/>
  <sheetData>
    <row r="1" spans="1:13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4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ht="12.75" customHeight="1"/>
    <row r="6" ht="12.75" customHeight="1"/>
    <row r="7" ht="12.75" customHeight="1"/>
    <row r="8" spans="9:11" ht="15">
      <c r="I8" s="13"/>
      <c r="J8" s="13"/>
      <c r="K8" s="13"/>
    </row>
    <row r="9" spans="9:11" ht="15">
      <c r="I9" s="13"/>
      <c r="J9" s="14"/>
      <c r="K9" s="13"/>
    </row>
    <row r="10" spans="9:11" ht="15">
      <c r="I10" s="13"/>
      <c r="J10" s="14"/>
      <c r="K10" s="13"/>
    </row>
    <row r="11" spans="8:11" ht="12.75" customHeight="1">
      <c r="H11" s="15"/>
      <c r="I11" s="13"/>
      <c r="J11" s="16"/>
      <c r="K11" s="17"/>
    </row>
    <row r="12" ht="12.75" customHeight="1"/>
    <row r="13" ht="7.5" customHeight="1"/>
    <row r="14" spans="10:12" ht="12.75" customHeight="1">
      <c r="J14" s="42"/>
      <c r="K14" s="54"/>
      <c r="L14" s="54"/>
    </row>
    <row r="15" spans="11:13" ht="15.75">
      <c r="K15" s="488" t="s">
        <v>677</v>
      </c>
      <c r="L15" s="488"/>
      <c r="M15" s="488"/>
    </row>
    <row r="16" ht="6" customHeight="1"/>
    <row r="17" ht="12.75" customHeight="1"/>
    <row r="18" spans="1:13" ht="12.75" customHeight="1">
      <c r="A18" s="485" t="s">
        <v>538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</row>
    <row r="19" spans="1:13" ht="12.75" customHeight="1">
      <c r="A19" s="485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</row>
    <row r="20" spans="1:13" ht="34.5" customHeight="1">
      <c r="A20" s="485"/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</row>
    <row r="21" spans="1:13" ht="39" customHeight="1">
      <c r="A21" s="485"/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</row>
    <row r="22" ht="12.75" customHeight="1"/>
    <row r="23" ht="9" customHeight="1"/>
    <row r="33" spans="1:13" ht="15.75">
      <c r="A33" s="41"/>
      <c r="B33" s="41"/>
      <c r="C33" s="41"/>
      <c r="D33" s="41"/>
      <c r="E33" s="41"/>
      <c r="F33" s="41"/>
      <c r="G33" s="41"/>
      <c r="H33" s="486" t="s">
        <v>529</v>
      </c>
      <c r="I33" s="486"/>
      <c r="J33" s="486"/>
      <c r="K33" s="486"/>
      <c r="L33" s="486"/>
      <c r="M33" s="486"/>
    </row>
    <row r="34" spans="1:13" ht="15.75">
      <c r="A34" s="487" t="s">
        <v>678</v>
      </c>
      <c r="B34" s="487"/>
      <c r="C34" s="487"/>
      <c r="D34" s="487"/>
      <c r="E34" s="487"/>
      <c r="F34" s="41"/>
      <c r="G34" s="41"/>
      <c r="H34" s="486" t="s">
        <v>530</v>
      </c>
      <c r="I34" s="486"/>
      <c r="J34" s="486"/>
      <c r="K34" s="486"/>
      <c r="L34" s="486"/>
      <c r="M34" s="486"/>
    </row>
  </sheetData>
  <sheetProtection/>
  <mergeCells count="5">
    <mergeCell ref="A18:M21"/>
    <mergeCell ref="H33:M33"/>
    <mergeCell ref="A34:E34"/>
    <mergeCell ref="H34:M34"/>
    <mergeCell ref="K15:M15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61">
      <selection activeCell="B70" sqref="B70:D74"/>
    </sheetView>
  </sheetViews>
  <sheetFormatPr defaultColWidth="9.140625" defaultRowHeight="12.75"/>
  <cols>
    <col min="1" max="1" width="11.00390625" style="0" bestFit="1" customWidth="1"/>
    <col min="2" max="2" width="58.00390625" style="0" customWidth="1"/>
    <col min="3" max="3" width="16.8515625" style="25" customWidth="1"/>
    <col min="4" max="4" width="16.140625" style="25" customWidth="1"/>
    <col min="5" max="5" width="11.28125" style="25" customWidth="1"/>
    <col min="6" max="6" width="9.140625" style="0" customWidth="1"/>
    <col min="7" max="7" width="14.8515625" style="0" customWidth="1"/>
  </cols>
  <sheetData>
    <row r="1" spans="1:5" ht="47.25" customHeight="1" thickBot="1">
      <c r="A1" s="489" t="s">
        <v>539</v>
      </c>
      <c r="B1" s="489"/>
      <c r="C1" s="489"/>
      <c r="D1" s="489"/>
      <c r="E1" s="489"/>
    </row>
    <row r="2" spans="1:5" ht="18.75" customHeight="1" thickTop="1">
      <c r="A2" s="490" t="s">
        <v>57</v>
      </c>
      <c r="B2" s="492" t="s">
        <v>205</v>
      </c>
      <c r="C2" s="496" t="s">
        <v>465</v>
      </c>
      <c r="D2" s="496" t="s">
        <v>545</v>
      </c>
      <c r="E2" s="494" t="s">
        <v>110</v>
      </c>
    </row>
    <row r="3" spans="1:5" ht="29.25" customHeight="1">
      <c r="A3" s="491"/>
      <c r="B3" s="493"/>
      <c r="C3" s="497"/>
      <c r="D3" s="497"/>
      <c r="E3" s="495"/>
    </row>
    <row r="4" spans="1:5" s="5" customFormat="1" ht="12.75" customHeight="1">
      <c r="A4" s="125">
        <v>1</v>
      </c>
      <c r="B4" s="122">
        <v>2</v>
      </c>
      <c r="C4" s="123">
        <v>3</v>
      </c>
      <c r="D4" s="123">
        <v>4</v>
      </c>
      <c r="E4" s="124" t="s">
        <v>546</v>
      </c>
    </row>
    <row r="5" spans="1:5" ht="18" customHeight="1">
      <c r="A5" s="302"/>
      <c r="B5" s="68" t="s">
        <v>249</v>
      </c>
      <c r="C5" s="328">
        <f>C6+C13+C19+C21</f>
        <v>14329500</v>
      </c>
      <c r="D5" s="328">
        <f>D6+D13+D19+D21</f>
        <v>21126300</v>
      </c>
      <c r="E5" s="72">
        <f aca="true" t="shared" si="0" ref="E5:E36">D5/C5*100</f>
        <v>147.43222024494924</v>
      </c>
    </row>
    <row r="6" spans="1:5" ht="15" customHeight="1">
      <c r="A6" s="329">
        <v>710000</v>
      </c>
      <c r="B6" s="330" t="s">
        <v>217</v>
      </c>
      <c r="C6" s="78">
        <f>C7+C8+C9+C10+C11+C12</f>
        <v>10408000</v>
      </c>
      <c r="D6" s="78">
        <f>D7+D8+D9+D10+D11+D12</f>
        <v>12405000</v>
      </c>
      <c r="E6" s="79">
        <f t="shared" si="0"/>
        <v>119.18716372021522</v>
      </c>
    </row>
    <row r="7" spans="1:5" ht="14.25" customHeight="1" hidden="1">
      <c r="A7" s="294">
        <v>711100</v>
      </c>
      <c r="B7" s="82" t="s">
        <v>186</v>
      </c>
      <c r="C7" s="172">
        <f>'B.pr. i prim. za nef. im.'!D7</f>
        <v>0</v>
      </c>
      <c r="D7" s="172">
        <f>'B.pr. i prim. za nef. im.'!E7</f>
        <v>0</v>
      </c>
      <c r="E7" s="72" t="e">
        <f t="shared" si="0"/>
        <v>#DIV/0!</v>
      </c>
    </row>
    <row r="8" spans="1:5" ht="12.75">
      <c r="A8" s="294">
        <v>713000</v>
      </c>
      <c r="B8" s="90" t="s">
        <v>4</v>
      </c>
      <c r="C8" s="172">
        <f>'B.pr. i prim. za nef. im.'!D9</f>
        <v>930000</v>
      </c>
      <c r="D8" s="172">
        <f>'B.pr. i prim. za nef. im.'!E9</f>
        <v>765000</v>
      </c>
      <c r="E8" s="364">
        <f t="shared" si="0"/>
        <v>82.25806451612904</v>
      </c>
    </row>
    <row r="9" spans="1:5" ht="14.25" customHeight="1">
      <c r="A9" s="294">
        <v>714000</v>
      </c>
      <c r="B9" s="90" t="s">
        <v>8</v>
      </c>
      <c r="C9" s="172">
        <f>'B.pr. i prim. za nef. im.'!D12</f>
        <v>250000</v>
      </c>
      <c r="D9" s="172">
        <f>'B.pr. i prim. za nef. im.'!E12</f>
        <v>250000</v>
      </c>
      <c r="E9" s="364">
        <f t="shared" si="0"/>
        <v>100</v>
      </c>
    </row>
    <row r="10" spans="1:5" ht="14.25" customHeight="1">
      <c r="A10" s="294">
        <v>715000</v>
      </c>
      <c r="B10" s="90" t="s">
        <v>152</v>
      </c>
      <c r="C10" s="172">
        <f>'B.pr. i prim. za nef. im.'!D14</f>
        <v>5000</v>
      </c>
      <c r="D10" s="172">
        <f>'B.pr. i prim. za nef. im.'!E14</f>
        <v>3000</v>
      </c>
      <c r="E10" s="364">
        <f t="shared" si="0"/>
        <v>60</v>
      </c>
    </row>
    <row r="11" spans="1:5" ht="14.25" customHeight="1">
      <c r="A11" s="294">
        <v>717000</v>
      </c>
      <c r="B11" s="82" t="s">
        <v>308</v>
      </c>
      <c r="C11" s="172">
        <f>'B.pr. i prim. za nef. im.'!D18</f>
        <v>9200000</v>
      </c>
      <c r="D11" s="172">
        <f>'B.pr. i prim. za nef. im.'!E18</f>
        <v>10387000</v>
      </c>
      <c r="E11" s="364">
        <f t="shared" si="0"/>
        <v>112.90217391304347</v>
      </c>
    </row>
    <row r="12" spans="1:5" ht="14.25" customHeight="1">
      <c r="A12" s="294">
        <v>719000</v>
      </c>
      <c r="B12" s="90" t="s">
        <v>309</v>
      </c>
      <c r="C12" s="172">
        <f>'B.pr. i prim. za nef. im.'!D20</f>
        <v>23000</v>
      </c>
      <c r="D12" s="172">
        <f>'B.pr. i prim. za nef. im.'!E20</f>
        <v>1000000</v>
      </c>
      <c r="E12" s="364">
        <f t="shared" si="0"/>
        <v>4347.826086956522</v>
      </c>
    </row>
    <row r="13" spans="1:7" ht="15" customHeight="1">
      <c r="A13" s="329">
        <v>720000</v>
      </c>
      <c r="B13" s="330" t="s">
        <v>220</v>
      </c>
      <c r="C13" s="78">
        <f>SUM(C14:C18)</f>
        <v>2531600</v>
      </c>
      <c r="D13" s="78">
        <f>SUM(D14:D18)</f>
        <v>7219400</v>
      </c>
      <c r="E13" s="79">
        <f t="shared" si="0"/>
        <v>285.17143308579557</v>
      </c>
      <c r="G13" s="1"/>
    </row>
    <row r="14" spans="1:7" ht="14.25" customHeight="1">
      <c r="A14" s="298">
        <v>721000</v>
      </c>
      <c r="B14" s="82" t="s">
        <v>153</v>
      </c>
      <c r="C14" s="172">
        <f>'B.pr. i prim. za nef. im.'!D23</f>
        <v>229500</v>
      </c>
      <c r="D14" s="172">
        <f>'B.pr. i prim. za nef. im.'!E23</f>
        <v>331300</v>
      </c>
      <c r="E14" s="364">
        <f t="shared" si="0"/>
        <v>144.35729847494554</v>
      </c>
      <c r="G14" s="1"/>
    </row>
    <row r="15" spans="1:5" ht="14.25" customHeight="1">
      <c r="A15" s="298">
        <v>722000</v>
      </c>
      <c r="B15" s="87" t="s">
        <v>156</v>
      </c>
      <c r="C15" s="172">
        <f>'B.pr. i prim. za nef. im.'!D31</f>
        <v>2180100</v>
      </c>
      <c r="D15" s="172">
        <f>'B.pr. i prim. za nef. im.'!E31</f>
        <v>6715000</v>
      </c>
      <c r="E15" s="364">
        <f t="shared" si="0"/>
        <v>308.0133938810147</v>
      </c>
    </row>
    <row r="16" spans="1:5" ht="14.25" customHeight="1">
      <c r="A16" s="298">
        <v>723000</v>
      </c>
      <c r="B16" s="90" t="s">
        <v>19</v>
      </c>
      <c r="C16" s="331">
        <f>'B.pr. i prim. za nef. im.'!D77</f>
        <v>22000</v>
      </c>
      <c r="D16" s="331">
        <f>'B.pr. i prim. za nef. im.'!E77</f>
        <v>40000</v>
      </c>
      <c r="E16" s="364">
        <f t="shared" si="0"/>
        <v>181.8181818181818</v>
      </c>
    </row>
    <row r="17" spans="1:5" ht="25.5" customHeight="1">
      <c r="A17" s="321">
        <v>728000</v>
      </c>
      <c r="B17" s="407" t="s">
        <v>615</v>
      </c>
      <c r="C17" s="331">
        <f>'B.pr. i prim. za nef. im.'!D79</f>
        <v>0</v>
      </c>
      <c r="D17" s="331">
        <f>'B.pr. i prim. za nef. im.'!E79</f>
        <v>33100</v>
      </c>
      <c r="E17" s="364" t="e">
        <f t="shared" si="0"/>
        <v>#DIV/0!</v>
      </c>
    </row>
    <row r="18" spans="1:5" ht="12.75">
      <c r="A18" s="298">
        <v>729000</v>
      </c>
      <c r="B18" s="87" t="s">
        <v>20</v>
      </c>
      <c r="C18" s="331">
        <f>'B.pr. i prim. za nef. im.'!D82</f>
        <v>100000</v>
      </c>
      <c r="D18" s="331">
        <f>'B.pr. i prim. za nef. im.'!E82</f>
        <v>100000</v>
      </c>
      <c r="E18" s="364">
        <f t="shared" si="0"/>
        <v>100</v>
      </c>
    </row>
    <row r="19" spans="1:5" ht="15" customHeight="1">
      <c r="A19" s="329">
        <v>730000</v>
      </c>
      <c r="B19" s="332" t="s">
        <v>226</v>
      </c>
      <c r="C19" s="78">
        <f>C20</f>
        <v>0</v>
      </c>
      <c r="D19" s="78">
        <f>D20</f>
        <v>0</v>
      </c>
      <c r="E19" s="79" t="e">
        <f t="shared" si="0"/>
        <v>#DIV/0!</v>
      </c>
    </row>
    <row r="20" spans="1:5" ht="15" customHeight="1">
      <c r="A20" s="294">
        <v>731000</v>
      </c>
      <c r="B20" s="108" t="s">
        <v>134</v>
      </c>
      <c r="C20" s="172">
        <f>'B.pr. i prim. za nef. im.'!D84</f>
        <v>0</v>
      </c>
      <c r="D20" s="172">
        <f>'B.pr. i prim. za nef. im.'!E84</f>
        <v>0</v>
      </c>
      <c r="E20" s="364" t="e">
        <f t="shared" si="0"/>
        <v>#DIV/0!</v>
      </c>
    </row>
    <row r="21" spans="1:7" s="2" customFormat="1" ht="15" customHeight="1">
      <c r="A21" s="329">
        <v>780000</v>
      </c>
      <c r="B21" s="293" t="s">
        <v>310</v>
      </c>
      <c r="C21" s="78">
        <f>C22</f>
        <v>1389900</v>
      </c>
      <c r="D21" s="78">
        <f>D22</f>
        <v>1501900</v>
      </c>
      <c r="E21" s="79">
        <f t="shared" si="0"/>
        <v>108.05813367868191</v>
      </c>
      <c r="G21"/>
    </row>
    <row r="22" spans="1:7" s="2" customFormat="1" ht="15" customHeight="1">
      <c r="A22" s="294">
        <v>787000</v>
      </c>
      <c r="B22" s="90" t="s">
        <v>311</v>
      </c>
      <c r="C22" s="172">
        <f>'B.pr. i prim. za nef. im.'!D97</f>
        <v>1389900</v>
      </c>
      <c r="D22" s="172">
        <f>'B.pr. i prim. za nef. im.'!E97</f>
        <v>1501900</v>
      </c>
      <c r="E22" s="364">
        <f t="shared" si="0"/>
        <v>108.05813367868191</v>
      </c>
      <c r="G22"/>
    </row>
    <row r="23" spans="1:7" s="2" customFormat="1" ht="15" customHeight="1">
      <c r="A23" s="298"/>
      <c r="B23" s="68" t="s">
        <v>314</v>
      </c>
      <c r="C23" s="71">
        <f>C24+C33+C35</f>
        <v>13303000</v>
      </c>
      <c r="D23" s="71">
        <f>D24+D33+D35</f>
        <v>18154310</v>
      </c>
      <c r="E23" s="72">
        <f t="shared" si="0"/>
        <v>136.4677892204766</v>
      </c>
      <c r="G23"/>
    </row>
    <row r="24" spans="1:7" s="2" customFormat="1" ht="15" customHeight="1">
      <c r="A24" s="329">
        <v>410000</v>
      </c>
      <c r="B24" s="293" t="s">
        <v>250</v>
      </c>
      <c r="C24" s="78">
        <f>SUM(C25:C32)</f>
        <v>12881800</v>
      </c>
      <c r="D24" s="78">
        <f>SUM(D25:D32)</f>
        <v>17712810</v>
      </c>
      <c r="E24" s="79">
        <f t="shared" si="0"/>
        <v>137.50260056824357</v>
      </c>
      <c r="G24"/>
    </row>
    <row r="25" spans="1:7" s="2" customFormat="1" ht="14.25" customHeight="1">
      <c r="A25" s="294">
        <v>411000</v>
      </c>
      <c r="B25" s="108" t="s">
        <v>119</v>
      </c>
      <c r="C25" s="172">
        <f>'B.rash. i izdaci za nef. im.'!C6</f>
        <v>4836400</v>
      </c>
      <c r="D25" s="172">
        <f>'B.rash. i izdaci za nef. im.'!D6</f>
        <v>8627840</v>
      </c>
      <c r="E25" s="364">
        <f t="shared" si="0"/>
        <v>178.39384666280705</v>
      </c>
      <c r="G25" s="1"/>
    </row>
    <row r="26" spans="1:7" s="2" customFormat="1" ht="12.75">
      <c r="A26" s="294">
        <v>412000</v>
      </c>
      <c r="B26" s="223" t="s">
        <v>120</v>
      </c>
      <c r="C26" s="109">
        <f>'B.rash. i izdaci za nef. im.'!C11</f>
        <v>2584400</v>
      </c>
      <c r="D26" s="109">
        <f>'B.rash. i izdaci za nef. im.'!D11</f>
        <v>3666320</v>
      </c>
      <c r="E26" s="364">
        <f t="shared" si="0"/>
        <v>141.863488624052</v>
      </c>
      <c r="G26"/>
    </row>
    <row r="27" spans="1:7" s="2" customFormat="1" ht="12.75">
      <c r="A27" s="294">
        <v>413000</v>
      </c>
      <c r="B27" s="82" t="s">
        <v>130</v>
      </c>
      <c r="C27" s="172">
        <f>'B.rash. i izdaci za nef. im.'!C21</f>
        <v>180000</v>
      </c>
      <c r="D27" s="172">
        <f>'B.rash. i izdaci za nef. im.'!D21</f>
        <v>150000</v>
      </c>
      <c r="E27" s="364">
        <f t="shared" si="0"/>
        <v>83.33333333333334</v>
      </c>
      <c r="G27"/>
    </row>
    <row r="28" spans="1:7" s="2" customFormat="1" ht="12.75">
      <c r="A28" s="294">
        <v>414000</v>
      </c>
      <c r="B28" s="108" t="s">
        <v>175</v>
      </c>
      <c r="C28" s="172">
        <f>'B.rash. i izdaci za nef. im.'!C25</f>
        <v>450000</v>
      </c>
      <c r="D28" s="172">
        <f>'B.rash. i izdaci za nef. im.'!D25</f>
        <v>410000</v>
      </c>
      <c r="E28" s="364">
        <f t="shared" si="0"/>
        <v>91.11111111111111</v>
      </c>
      <c r="G28"/>
    </row>
    <row r="29" spans="1:7" s="2" customFormat="1" ht="12.75">
      <c r="A29" s="294">
        <v>415000</v>
      </c>
      <c r="B29" s="223" t="s">
        <v>134</v>
      </c>
      <c r="C29" s="172">
        <f>'B.rash. i izdaci za nef. im.'!C27</f>
        <v>1466500</v>
      </c>
      <c r="D29" s="172">
        <f>'B.rash. i izdaci za nef. im.'!D27</f>
        <v>1132500</v>
      </c>
      <c r="E29" s="364">
        <f t="shared" si="0"/>
        <v>77.22468462325264</v>
      </c>
      <c r="G29"/>
    </row>
    <row r="30" spans="1:7" s="2" customFormat="1" ht="23.25" customHeight="1">
      <c r="A30" s="294">
        <v>416000</v>
      </c>
      <c r="B30" s="108" t="s">
        <v>143</v>
      </c>
      <c r="C30" s="172">
        <f>'B.rash. i izdaci za nef. im.'!C29</f>
        <v>3216500</v>
      </c>
      <c r="D30" s="172">
        <f>'B.rash. i izdaci za nef. im.'!D29</f>
        <v>3497100</v>
      </c>
      <c r="E30" s="364">
        <f t="shared" si="0"/>
        <v>108.7237680708845</v>
      </c>
      <c r="G30"/>
    </row>
    <row r="31" spans="1:7" s="2" customFormat="1" ht="25.5">
      <c r="A31" s="294">
        <v>418000</v>
      </c>
      <c r="B31" s="108" t="s">
        <v>312</v>
      </c>
      <c r="C31" s="109">
        <f>'B.rash. i izdaci za nef. im.'!C32</f>
        <v>36500</v>
      </c>
      <c r="D31" s="109">
        <f>'B.rash. i izdaci za nef. im.'!D32</f>
        <v>76550</v>
      </c>
      <c r="E31" s="364">
        <f t="shared" si="0"/>
        <v>209.72602739726028</v>
      </c>
      <c r="G31"/>
    </row>
    <row r="32" spans="1:7" s="2" customFormat="1" ht="14.25" customHeight="1">
      <c r="A32" s="294">
        <v>419000</v>
      </c>
      <c r="B32" s="108" t="s">
        <v>313</v>
      </c>
      <c r="C32" s="172">
        <f>'B.rash. i izdaci za nef. im.'!C36</f>
        <v>111500</v>
      </c>
      <c r="D32" s="172">
        <f>'B.rash. i izdaci za nef. im.'!D36</f>
        <v>152500</v>
      </c>
      <c r="E32" s="364">
        <f t="shared" si="0"/>
        <v>136.77130044843048</v>
      </c>
      <c r="G32"/>
    </row>
    <row r="33" spans="1:7" s="2" customFormat="1" ht="16.5" customHeight="1">
      <c r="A33" s="329">
        <v>480000</v>
      </c>
      <c r="B33" s="293" t="s">
        <v>316</v>
      </c>
      <c r="C33" s="78">
        <f>SUM(C34)</f>
        <v>201200</v>
      </c>
      <c r="D33" s="78">
        <f>SUM(D34)</f>
        <v>231500</v>
      </c>
      <c r="E33" s="79">
        <f t="shared" si="0"/>
        <v>115.0596421471173</v>
      </c>
      <c r="G33"/>
    </row>
    <row r="34" spans="1:7" s="2" customFormat="1" ht="16.5" customHeight="1">
      <c r="A34" s="294">
        <v>487000</v>
      </c>
      <c r="B34" s="108" t="s">
        <v>311</v>
      </c>
      <c r="C34" s="172">
        <f>'B.rash. i izdaci za nef. im.'!C38</f>
        <v>201200</v>
      </c>
      <c r="D34" s="172">
        <f>'B.rash. i izdaci za nef. im.'!D38</f>
        <v>231500</v>
      </c>
      <c r="E34" s="364">
        <f t="shared" si="0"/>
        <v>115.0596421471173</v>
      </c>
      <c r="G34"/>
    </row>
    <row r="35" spans="1:7" s="2" customFormat="1" ht="15.75" customHeight="1">
      <c r="A35" s="329" t="s">
        <v>192</v>
      </c>
      <c r="B35" s="293" t="s">
        <v>315</v>
      </c>
      <c r="C35" s="78">
        <f>'B.rash. i izdaci za nef. im.'!C43</f>
        <v>220000</v>
      </c>
      <c r="D35" s="78">
        <f>'B.rash. i izdaci za nef. im.'!D43</f>
        <v>210000</v>
      </c>
      <c r="E35" s="79">
        <f t="shared" si="0"/>
        <v>95.45454545454545</v>
      </c>
      <c r="G35"/>
    </row>
    <row r="36" spans="1:7" s="2" customFormat="1" ht="16.5" customHeight="1">
      <c r="A36" s="298"/>
      <c r="B36" s="62" t="s">
        <v>251</v>
      </c>
      <c r="C36" s="64">
        <f>C5-C23</f>
        <v>1026500</v>
      </c>
      <c r="D36" s="64">
        <f>D5-D23</f>
        <v>2971990</v>
      </c>
      <c r="E36" s="65">
        <f t="shared" si="0"/>
        <v>289.52654651729176</v>
      </c>
      <c r="G36"/>
    </row>
    <row r="37" spans="1:7" s="2" customFormat="1" ht="16.5" customHeight="1">
      <c r="A37" s="298"/>
      <c r="B37" s="333" t="s">
        <v>252</v>
      </c>
      <c r="C37" s="71">
        <f>C38-C42</f>
        <v>575300</v>
      </c>
      <c r="D37" s="71">
        <f>D38-D42</f>
        <v>-2059700</v>
      </c>
      <c r="E37" s="72" t="s">
        <v>272</v>
      </c>
      <c r="G37"/>
    </row>
    <row r="38" spans="1:5" ht="15" customHeight="1">
      <c r="A38" s="329">
        <v>810000</v>
      </c>
      <c r="B38" s="293" t="s">
        <v>228</v>
      </c>
      <c r="C38" s="78">
        <f>C39+C40+C41</f>
        <v>2205500</v>
      </c>
      <c r="D38" s="78">
        <f>D39+D40+D41</f>
        <v>595000</v>
      </c>
      <c r="E38" s="79">
        <f aca="true" t="shared" si="1" ref="E38:E46">D38/C38*100</f>
        <v>26.97800952165042</v>
      </c>
    </row>
    <row r="39" spans="1:5" ht="14.25" customHeight="1" hidden="1">
      <c r="A39" s="294">
        <v>811000</v>
      </c>
      <c r="B39" s="90" t="s">
        <v>171</v>
      </c>
      <c r="C39" s="172">
        <f>'B.pr. i prim. za nef. im.'!D111</f>
        <v>0</v>
      </c>
      <c r="D39" s="172">
        <f>'B.pr. i prim. za nef. im.'!E111</f>
        <v>0</v>
      </c>
      <c r="E39" s="79" t="e">
        <f t="shared" si="1"/>
        <v>#DIV/0!</v>
      </c>
    </row>
    <row r="40" spans="1:5" ht="14.25" customHeight="1">
      <c r="A40" s="294">
        <v>813000</v>
      </c>
      <c r="B40" s="90" t="s">
        <v>158</v>
      </c>
      <c r="C40" s="172">
        <f>'B.pr. i prim. za nef. im.'!D113</f>
        <v>2200000</v>
      </c>
      <c r="D40" s="172">
        <f>'B.pr. i prim. za nef. im.'!E113</f>
        <v>557000</v>
      </c>
      <c r="E40" s="364">
        <f t="shared" si="1"/>
        <v>25.318181818181817</v>
      </c>
    </row>
    <row r="41" spans="1:5" ht="29.25" customHeight="1">
      <c r="A41" s="294">
        <v>816000</v>
      </c>
      <c r="B41" s="90" t="s">
        <v>253</v>
      </c>
      <c r="C41" s="172">
        <f>'B.pr. i prim. za nef. im.'!D115</f>
        <v>5500</v>
      </c>
      <c r="D41" s="172">
        <f>'B.pr. i prim. za nef. im.'!E115</f>
        <v>38000</v>
      </c>
      <c r="E41" s="364">
        <f t="shared" si="1"/>
        <v>690.9090909090909</v>
      </c>
    </row>
    <row r="42" spans="1:5" ht="16.5" customHeight="1">
      <c r="A42" s="329">
        <v>510000</v>
      </c>
      <c r="B42" s="293" t="s">
        <v>254</v>
      </c>
      <c r="C42" s="78">
        <f>SUM(C43:C45)</f>
        <v>1630200</v>
      </c>
      <c r="D42" s="78">
        <f>SUM(D43:D45)</f>
        <v>2654700</v>
      </c>
      <c r="E42" s="79">
        <f t="shared" si="1"/>
        <v>162.84504968715495</v>
      </c>
    </row>
    <row r="43" spans="1:5" ht="12.75">
      <c r="A43" s="294">
        <v>511000</v>
      </c>
      <c r="B43" s="90" t="s">
        <v>138</v>
      </c>
      <c r="C43" s="172">
        <f>'B.rash. i izdaci za nef. im.'!C45</f>
        <v>1480500</v>
      </c>
      <c r="D43" s="172">
        <f>'B.rash. i izdaci za nef. im.'!D45</f>
        <v>2436700</v>
      </c>
      <c r="E43" s="364">
        <f t="shared" si="1"/>
        <v>164.58628841607566</v>
      </c>
    </row>
    <row r="44" spans="1:5" ht="12.75">
      <c r="A44" s="334">
        <v>513000</v>
      </c>
      <c r="B44" s="223" t="s">
        <v>165</v>
      </c>
      <c r="C44" s="172">
        <f>'B.rash. i izdaci za nef. im.'!C51</f>
        <v>100000</v>
      </c>
      <c r="D44" s="172">
        <f>'B.rash. i izdaci za nef. im.'!D51</f>
        <v>150000</v>
      </c>
      <c r="E44" s="364">
        <f t="shared" si="1"/>
        <v>150</v>
      </c>
    </row>
    <row r="45" spans="1:5" ht="12.75">
      <c r="A45" s="334">
        <v>516000</v>
      </c>
      <c r="B45" s="108" t="s">
        <v>300</v>
      </c>
      <c r="C45" s="172">
        <f>'B.rash. i izdaci za nef. im.'!C54</f>
        <v>49700</v>
      </c>
      <c r="D45" s="172">
        <f>'B.rash. i izdaci za nef. im.'!D54</f>
        <v>68000</v>
      </c>
      <c r="E45" s="364">
        <f t="shared" si="1"/>
        <v>136.82092555331994</v>
      </c>
    </row>
    <row r="46" spans="1:5" ht="18.75" customHeight="1">
      <c r="A46" s="334"/>
      <c r="B46" s="62" t="s">
        <v>255</v>
      </c>
      <c r="C46" s="64">
        <f>C36+C37</f>
        <v>1601800</v>
      </c>
      <c r="D46" s="64">
        <f>D36+D37</f>
        <v>912290</v>
      </c>
      <c r="E46" s="65">
        <f t="shared" si="1"/>
        <v>56.95405169184667</v>
      </c>
    </row>
    <row r="47" spans="1:5" ht="15.75" customHeight="1">
      <c r="A47" s="334"/>
      <c r="B47" s="68" t="s">
        <v>317</v>
      </c>
      <c r="C47" s="71">
        <f>C48+C53+C59+C66</f>
        <v>-1601800</v>
      </c>
      <c r="D47" s="71">
        <f>D48+D53+D59+D66</f>
        <v>-912290</v>
      </c>
      <c r="E47" s="72" t="s">
        <v>272</v>
      </c>
    </row>
    <row r="48" spans="1:5" ht="17.25" customHeight="1">
      <c r="A48" s="334"/>
      <c r="B48" s="68" t="s">
        <v>256</v>
      </c>
      <c r="C48" s="71">
        <f>C49-C51</f>
        <v>0</v>
      </c>
      <c r="D48" s="71">
        <f>D49-D51</f>
        <v>37000</v>
      </c>
      <c r="E48" s="72" t="e">
        <f aca="true" t="shared" si="2" ref="E48:E58">D48/C48*100</f>
        <v>#DIV/0!</v>
      </c>
    </row>
    <row r="49" spans="1:5" ht="15" customHeight="1">
      <c r="A49" s="329">
        <v>910000</v>
      </c>
      <c r="B49" s="293" t="s">
        <v>257</v>
      </c>
      <c r="C49" s="78">
        <f>SUM(C50)</f>
        <v>0</v>
      </c>
      <c r="D49" s="78">
        <f>SUM(D50)</f>
        <v>37000</v>
      </c>
      <c r="E49" s="79" t="e">
        <f t="shared" si="2"/>
        <v>#DIV/0!</v>
      </c>
    </row>
    <row r="50" spans="1:5" ht="14.25" customHeight="1">
      <c r="A50" s="294">
        <v>911000</v>
      </c>
      <c r="B50" s="186" t="s">
        <v>258</v>
      </c>
      <c r="C50" s="84">
        <f>Finansiranje!C7</f>
        <v>0</v>
      </c>
      <c r="D50" s="84">
        <f>Finansiranje!D7</f>
        <v>37000</v>
      </c>
      <c r="E50" s="364" t="e">
        <f t="shared" si="2"/>
        <v>#DIV/0!</v>
      </c>
    </row>
    <row r="51" spans="1:5" ht="14.25" customHeight="1">
      <c r="A51" s="329">
        <v>610000</v>
      </c>
      <c r="B51" s="293" t="s">
        <v>259</v>
      </c>
      <c r="C51" s="78">
        <f>SUM(C52)</f>
        <v>0</v>
      </c>
      <c r="D51" s="78">
        <f>SUM(D52)</f>
        <v>0</v>
      </c>
      <c r="E51" s="79" t="e">
        <f t="shared" si="2"/>
        <v>#DIV/0!</v>
      </c>
    </row>
    <row r="52" spans="1:5" ht="14.25" customHeight="1">
      <c r="A52" s="294">
        <v>611000</v>
      </c>
      <c r="B52" s="186" t="s">
        <v>260</v>
      </c>
      <c r="C52" s="84">
        <f>Finansiranje!C9</f>
        <v>0</v>
      </c>
      <c r="D52" s="84">
        <f>Finansiranje!D9</f>
        <v>0</v>
      </c>
      <c r="E52" s="364" t="e">
        <f t="shared" si="2"/>
        <v>#DIV/0!</v>
      </c>
    </row>
    <row r="53" spans="1:5" ht="14.25" customHeight="1">
      <c r="A53" s="294"/>
      <c r="B53" s="68" t="s">
        <v>261</v>
      </c>
      <c r="C53" s="71">
        <f>C54-C56</f>
        <v>-1077000</v>
      </c>
      <c r="D53" s="71">
        <f>D54-D56</f>
        <v>-1122000</v>
      </c>
      <c r="E53" s="72">
        <f t="shared" si="2"/>
        <v>104.17827298050139</v>
      </c>
    </row>
    <row r="54" spans="1:5" ht="15" customHeight="1">
      <c r="A54" s="329">
        <v>920000</v>
      </c>
      <c r="B54" s="293" t="s">
        <v>264</v>
      </c>
      <c r="C54" s="78">
        <f>SUM(C55)</f>
        <v>0</v>
      </c>
      <c r="D54" s="78">
        <f>SUM(D55)</f>
        <v>0</v>
      </c>
      <c r="E54" s="79" t="e">
        <f t="shared" si="2"/>
        <v>#DIV/0!</v>
      </c>
    </row>
    <row r="55" spans="1:5" ht="14.25" customHeight="1">
      <c r="A55" s="294">
        <v>921000</v>
      </c>
      <c r="B55" s="90" t="s">
        <v>405</v>
      </c>
      <c r="C55" s="109">
        <f>Finansiranje!C12</f>
        <v>0</v>
      </c>
      <c r="D55" s="109">
        <f>Finansiranje!D12</f>
        <v>0</v>
      </c>
      <c r="E55" s="364" t="e">
        <f t="shared" si="2"/>
        <v>#DIV/0!</v>
      </c>
    </row>
    <row r="56" spans="1:5" ht="14.25" customHeight="1">
      <c r="A56" s="329">
        <v>620000</v>
      </c>
      <c r="B56" s="293" t="s">
        <v>262</v>
      </c>
      <c r="C56" s="77">
        <f>SUM(C57:C58)</f>
        <v>1077000</v>
      </c>
      <c r="D56" s="77">
        <f>SUM(D57:D58)</f>
        <v>1122000</v>
      </c>
      <c r="E56" s="79">
        <f t="shared" si="2"/>
        <v>104.17827298050139</v>
      </c>
    </row>
    <row r="57" spans="1:5" ht="15.75" customHeight="1">
      <c r="A57" s="294">
        <v>621000</v>
      </c>
      <c r="B57" s="90" t="s">
        <v>406</v>
      </c>
      <c r="C57" s="109">
        <f>Finansiranje!C15</f>
        <v>897000</v>
      </c>
      <c r="D57" s="109">
        <f>Finansiranje!D15</f>
        <v>925000</v>
      </c>
      <c r="E57" s="364">
        <f t="shared" si="2"/>
        <v>103.12151616499443</v>
      </c>
    </row>
    <row r="58" spans="1:5" ht="25.5">
      <c r="A58" s="294">
        <v>628000</v>
      </c>
      <c r="B58" s="90" t="s">
        <v>401</v>
      </c>
      <c r="C58" s="109">
        <f>Finansiranje!C18</f>
        <v>180000</v>
      </c>
      <c r="D58" s="109">
        <f>Finansiranje!D18</f>
        <v>197000</v>
      </c>
      <c r="E58" s="364">
        <f t="shared" si="2"/>
        <v>109.44444444444446</v>
      </c>
    </row>
    <row r="59" spans="1:5" ht="14.25" customHeight="1">
      <c r="A59" s="294"/>
      <c r="B59" s="68" t="s">
        <v>318</v>
      </c>
      <c r="C59" s="71">
        <f>C60-C63</f>
        <v>-1099800</v>
      </c>
      <c r="D59" s="71">
        <f>D60-D63</f>
        <v>88710</v>
      </c>
      <c r="E59" s="72" t="s">
        <v>272</v>
      </c>
    </row>
    <row r="60" spans="1:5" ht="14.25" customHeight="1">
      <c r="A60" s="329">
        <v>930000</v>
      </c>
      <c r="B60" s="293" t="s">
        <v>319</v>
      </c>
      <c r="C60" s="78">
        <f>SUM(C61:C62)</f>
        <v>140000</v>
      </c>
      <c r="D60" s="78">
        <f>SUM(D61:D62)</f>
        <v>357700</v>
      </c>
      <c r="E60" s="79">
        <f aca="true" t="shared" si="3" ref="E60:E66">D60/C60*100</f>
        <v>255.50000000000003</v>
      </c>
    </row>
    <row r="61" spans="1:5" ht="14.25" customHeight="1">
      <c r="A61" s="294">
        <v>931000</v>
      </c>
      <c r="B61" s="90" t="s">
        <v>320</v>
      </c>
      <c r="C61" s="84">
        <f>Finansiranje!C23</f>
        <v>0</v>
      </c>
      <c r="D61" s="84">
        <f>Finansiranje!D23</f>
        <v>28400</v>
      </c>
      <c r="E61" s="364" t="e">
        <f t="shared" si="3"/>
        <v>#DIV/0!</v>
      </c>
    </row>
    <row r="62" spans="1:5" ht="12.75">
      <c r="A62" s="294">
        <v>938000</v>
      </c>
      <c r="B62" s="90" t="s">
        <v>365</v>
      </c>
      <c r="C62" s="172">
        <f>Finansiranje!C24</f>
        <v>140000</v>
      </c>
      <c r="D62" s="172">
        <f>Finansiranje!D24</f>
        <v>329300</v>
      </c>
      <c r="E62" s="364">
        <f t="shared" si="3"/>
        <v>235.21428571428572</v>
      </c>
    </row>
    <row r="63" spans="1:5" ht="14.25" customHeight="1">
      <c r="A63" s="329">
        <v>630000</v>
      </c>
      <c r="B63" s="293" t="s">
        <v>321</v>
      </c>
      <c r="C63" s="77">
        <f>SUM(C64:C65)</f>
        <v>1239800</v>
      </c>
      <c r="D63" s="77">
        <f>SUM(D64:D65)</f>
        <v>268990</v>
      </c>
      <c r="E63" s="79">
        <f t="shared" si="3"/>
        <v>21.69624132924665</v>
      </c>
    </row>
    <row r="64" spans="1:5" ht="14.25" customHeight="1">
      <c r="A64" s="294">
        <v>631000</v>
      </c>
      <c r="B64" s="90" t="s">
        <v>322</v>
      </c>
      <c r="C64" s="109">
        <f>Finansiranje!C28</f>
        <v>1101500</v>
      </c>
      <c r="D64" s="109">
        <f>Finansiranje!D28</f>
        <v>43600</v>
      </c>
      <c r="E64" s="364">
        <f t="shared" si="3"/>
        <v>3.9582387653200177</v>
      </c>
    </row>
    <row r="65" spans="1:5" ht="14.25" customHeight="1">
      <c r="A65" s="294">
        <v>638000</v>
      </c>
      <c r="B65" s="90" t="s">
        <v>327</v>
      </c>
      <c r="C65" s="109">
        <f>Finansiranje!C32</f>
        <v>138300</v>
      </c>
      <c r="D65" s="109">
        <f>Finansiranje!D32</f>
        <v>225390</v>
      </c>
      <c r="E65" s="364">
        <f t="shared" si="3"/>
        <v>162.97180043383946</v>
      </c>
    </row>
    <row r="66" spans="1:5" ht="21.75" customHeight="1">
      <c r="A66" s="294"/>
      <c r="B66" s="113" t="s">
        <v>431</v>
      </c>
      <c r="C66" s="71">
        <f>Finansiranje!C35</f>
        <v>575000</v>
      </c>
      <c r="D66" s="71">
        <f>Finansiranje!D35</f>
        <v>84000</v>
      </c>
      <c r="E66" s="365">
        <f t="shared" si="3"/>
        <v>14.608695652173914</v>
      </c>
    </row>
    <row r="67" spans="1:5" ht="20.25" customHeight="1" thickBot="1">
      <c r="A67" s="325"/>
      <c r="B67" s="117" t="s">
        <v>323</v>
      </c>
      <c r="C67" s="118">
        <f>C46+C47</f>
        <v>0</v>
      </c>
      <c r="D67" s="118">
        <f>D46+D47</f>
        <v>0</v>
      </c>
      <c r="E67" s="120" t="s">
        <v>272</v>
      </c>
    </row>
    <row r="68" spans="1:5" ht="20.25" customHeight="1" thickTop="1">
      <c r="A68" s="137"/>
      <c r="B68" s="138"/>
      <c r="C68" s="139"/>
      <c r="D68" s="139"/>
      <c r="E68" s="140"/>
    </row>
    <row r="69" spans="1:5" ht="18" customHeight="1">
      <c r="A69" s="26"/>
      <c r="B69" s="24"/>
      <c r="C69" s="27"/>
      <c r="D69" s="27"/>
      <c r="E69" s="27"/>
    </row>
    <row r="70" spans="1:5" ht="18" customHeight="1">
      <c r="A70" s="3"/>
      <c r="B70" s="24"/>
      <c r="C70" s="24"/>
      <c r="D70" s="24"/>
      <c r="E70" s="24"/>
    </row>
    <row r="71" spans="1:5" ht="14.25" customHeight="1">
      <c r="A71" s="3"/>
      <c r="B71" s="24"/>
      <c r="C71" s="24"/>
      <c r="D71" s="24"/>
      <c r="E71" s="24"/>
    </row>
    <row r="72" spans="1:7" ht="16.5" customHeight="1">
      <c r="A72" s="3"/>
      <c r="B72" s="44"/>
      <c r="C72" s="24"/>
      <c r="D72" s="24"/>
      <c r="E72" s="24"/>
      <c r="G72" s="1"/>
    </row>
    <row r="73" spans="1:5" ht="16.5" customHeight="1">
      <c r="A73" s="4"/>
      <c r="C73" s="27"/>
      <c r="D73" s="27"/>
      <c r="E73" s="27"/>
    </row>
    <row r="74" spans="1:2" ht="15.75" customHeight="1">
      <c r="A74" s="27"/>
      <c r="B74" s="27"/>
    </row>
    <row r="75" spans="1:4" ht="12.75">
      <c r="A75" s="27"/>
      <c r="B75" s="27"/>
      <c r="D75" s="27"/>
    </row>
    <row r="76" spans="1:5" ht="17.25" customHeight="1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8"/>
      <c r="D78" s="28"/>
      <c r="E78" s="28"/>
    </row>
    <row r="79" spans="1:2" ht="12.75">
      <c r="A79" s="27"/>
      <c r="B79" s="27"/>
    </row>
    <row r="80" spans="1:2" ht="23.25" customHeight="1">
      <c r="A80" s="27"/>
      <c r="B80" s="27"/>
    </row>
    <row r="81" spans="1:2" ht="16.5" customHeight="1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5" customHeight="1">
      <c r="A84" s="27"/>
      <c r="B84" s="27"/>
    </row>
    <row r="85" spans="1:2" ht="12.75">
      <c r="A85" s="27"/>
      <c r="B85" s="27"/>
    </row>
    <row r="86" spans="1:2" ht="26.25" customHeight="1">
      <c r="A86" s="27"/>
      <c r="B86" s="27"/>
    </row>
    <row r="87" spans="1:2" ht="12.75">
      <c r="A87" s="27"/>
      <c r="B87" s="27"/>
    </row>
    <row r="88" spans="1:2" ht="12.75">
      <c r="A88" s="27"/>
      <c r="B88" s="27"/>
    </row>
    <row r="89" spans="1:2" ht="12.75">
      <c r="A89" s="27"/>
      <c r="B89" s="27"/>
    </row>
    <row r="90" spans="1:2" ht="12.75">
      <c r="A90" s="27"/>
      <c r="B90" s="27"/>
    </row>
    <row r="91" spans="1:2" ht="12.75">
      <c r="A91" s="27"/>
      <c r="B91" s="27"/>
    </row>
    <row r="92" spans="1:2" ht="12.75">
      <c r="A92" s="27"/>
      <c r="B92" s="27"/>
    </row>
    <row r="93" spans="1:2" ht="15.75" customHeight="1">
      <c r="A93" s="27"/>
      <c r="B93" s="27"/>
    </row>
    <row r="94" spans="1:6" ht="12.75">
      <c r="A94" s="27"/>
      <c r="B94" s="27"/>
      <c r="F94" s="2"/>
    </row>
    <row r="95" spans="1:2" ht="12.75">
      <c r="A95" s="27"/>
      <c r="B95" s="27"/>
    </row>
    <row r="96" spans="1:2" ht="12.75">
      <c r="A96" s="27"/>
      <c r="B96" s="27"/>
    </row>
    <row r="97" spans="1:2" ht="12.75" customHeight="1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6" s="25" customFormat="1" ht="12.75">
      <c r="A110" s="27"/>
      <c r="B110" s="27"/>
      <c r="F110"/>
    </row>
    <row r="111" spans="1:6" s="25" customFormat="1" ht="12.75">
      <c r="A111" s="27"/>
      <c r="B111" s="27"/>
      <c r="F111"/>
    </row>
    <row r="112" spans="1:6" s="25" customFormat="1" ht="12.75">
      <c r="A112" s="27"/>
      <c r="B112" s="27"/>
      <c r="F112"/>
    </row>
    <row r="113" spans="1:6" s="25" customFormat="1" ht="12.75">
      <c r="A113" s="27"/>
      <c r="B113" s="27"/>
      <c r="F113"/>
    </row>
    <row r="114" spans="1:6" s="25" customFormat="1" ht="12.75">
      <c r="A114" s="27"/>
      <c r="B114" s="27"/>
      <c r="F114"/>
    </row>
    <row r="115" spans="1:6" s="25" customFormat="1" ht="12.75">
      <c r="A115" s="27"/>
      <c r="B115" s="27"/>
      <c r="F115"/>
    </row>
    <row r="116" spans="1:6" s="25" customFormat="1" ht="12.75">
      <c r="A116" s="27"/>
      <c r="B116" s="27"/>
      <c r="F116"/>
    </row>
    <row r="117" spans="1:6" s="25" customFormat="1" ht="12.75">
      <c r="A117" s="27"/>
      <c r="B117" s="27"/>
      <c r="F117"/>
    </row>
    <row r="118" spans="1:6" s="25" customFormat="1" ht="12.75">
      <c r="A118" s="27"/>
      <c r="B118" s="27"/>
      <c r="F118"/>
    </row>
    <row r="119" spans="1:6" s="25" customFormat="1" ht="12.75">
      <c r="A119" s="27"/>
      <c r="B119" s="27"/>
      <c r="F119"/>
    </row>
    <row r="120" spans="1:6" s="25" customFormat="1" ht="12.75">
      <c r="A120" s="27"/>
      <c r="B120" s="27"/>
      <c r="F120"/>
    </row>
    <row r="121" spans="1:6" s="25" customFormat="1" ht="12.75">
      <c r="A121" s="27"/>
      <c r="B121" s="27"/>
      <c r="F121"/>
    </row>
    <row r="122" spans="1:6" s="25" customFormat="1" ht="12.75">
      <c r="A122" s="27"/>
      <c r="B122" s="27"/>
      <c r="F122"/>
    </row>
    <row r="123" spans="1:6" s="25" customFormat="1" ht="12.75">
      <c r="A123" s="27"/>
      <c r="B123" s="27"/>
      <c r="F123"/>
    </row>
    <row r="124" spans="1:6" s="25" customFormat="1" ht="12.75">
      <c r="A124" s="27"/>
      <c r="B124" s="27"/>
      <c r="F124"/>
    </row>
    <row r="125" spans="1:6" s="25" customFormat="1" ht="12.75">
      <c r="A125" s="27"/>
      <c r="B125" s="27"/>
      <c r="F125"/>
    </row>
    <row r="126" spans="1:6" s="25" customFormat="1" ht="12.75">
      <c r="A126" s="27"/>
      <c r="B126" s="27"/>
      <c r="F126"/>
    </row>
    <row r="127" spans="1:6" s="25" customFormat="1" ht="12.75">
      <c r="A127" s="27"/>
      <c r="B127" s="27"/>
      <c r="F127"/>
    </row>
    <row r="128" spans="1:6" s="25" customFormat="1" ht="12.75">
      <c r="A128" s="27"/>
      <c r="B128" s="27"/>
      <c r="F128"/>
    </row>
    <row r="129" spans="1:6" s="25" customFormat="1" ht="12.75">
      <c r="A129" s="27"/>
      <c r="B129" s="27"/>
      <c r="F129"/>
    </row>
    <row r="130" spans="1:6" s="25" customFormat="1" ht="12.75">
      <c r="A130" s="27"/>
      <c r="B130" s="27"/>
      <c r="F130"/>
    </row>
    <row r="131" spans="1:6" s="25" customFormat="1" ht="12.75">
      <c r="A131" s="27"/>
      <c r="B131" s="27"/>
      <c r="F131"/>
    </row>
    <row r="132" spans="1:6" s="25" customFormat="1" ht="12.75">
      <c r="A132" s="27"/>
      <c r="B132" s="27"/>
      <c r="F132"/>
    </row>
    <row r="133" spans="1:6" s="25" customFormat="1" ht="12.75">
      <c r="A133" s="27"/>
      <c r="B133" s="27"/>
      <c r="F133"/>
    </row>
    <row r="134" spans="1:6" s="25" customFormat="1" ht="12.75">
      <c r="A134" s="27"/>
      <c r="B134" s="27"/>
      <c r="F134"/>
    </row>
    <row r="135" spans="1:6" s="25" customFormat="1" ht="12.75">
      <c r="A135" s="27"/>
      <c r="B135" s="27"/>
      <c r="F135"/>
    </row>
    <row r="136" spans="1:6" s="25" customFormat="1" ht="12.75">
      <c r="A136" s="27"/>
      <c r="B136" s="27"/>
      <c r="F136"/>
    </row>
    <row r="137" spans="1:6" s="25" customFormat="1" ht="12.75">
      <c r="A137" s="27"/>
      <c r="B137" s="27"/>
      <c r="F137"/>
    </row>
    <row r="138" spans="1:6" s="25" customFormat="1" ht="12.75">
      <c r="A138" s="27"/>
      <c r="B138" s="27"/>
      <c r="F138"/>
    </row>
    <row r="139" spans="1:6" s="25" customFormat="1" ht="12.75">
      <c r="A139" s="27"/>
      <c r="B139" s="27"/>
      <c r="F139"/>
    </row>
    <row r="140" spans="1:6" s="25" customFormat="1" ht="12.75">
      <c r="A140" s="27"/>
      <c r="B140" s="27"/>
      <c r="F140"/>
    </row>
    <row r="141" spans="1:6" s="25" customFormat="1" ht="12.75">
      <c r="A141" s="27"/>
      <c r="B141" s="27"/>
      <c r="F141"/>
    </row>
    <row r="142" spans="1:5" ht="12.75">
      <c r="A142" s="27"/>
      <c r="B142" s="3"/>
      <c r="C142" s="27"/>
      <c r="D142" s="27"/>
      <c r="E142" s="27"/>
    </row>
    <row r="143" spans="1:5" ht="12.75">
      <c r="A143" s="4"/>
      <c r="B143" s="3"/>
      <c r="C143" s="27"/>
      <c r="D143" s="27"/>
      <c r="E143" s="27"/>
    </row>
    <row r="144" spans="1:5" ht="12.75">
      <c r="A144" s="4"/>
      <c r="B144" s="3"/>
      <c r="C144" s="27"/>
      <c r="D144" s="27"/>
      <c r="E144" s="27"/>
    </row>
    <row r="145" spans="1:5" ht="12.75">
      <c r="A145" s="4"/>
      <c r="B145" s="3"/>
      <c r="C145" s="27"/>
      <c r="D145" s="27"/>
      <c r="E145" s="27"/>
    </row>
    <row r="146" spans="1:5" ht="12.75">
      <c r="A146" s="4"/>
      <c r="B146" s="3"/>
      <c r="C146" s="27"/>
      <c r="D146" s="27"/>
      <c r="E146" s="27"/>
    </row>
    <row r="147" spans="1:5" ht="12.75">
      <c r="A147" s="4"/>
      <c r="B147" s="3"/>
      <c r="C147" s="27"/>
      <c r="D147" s="27"/>
      <c r="E147" s="27"/>
    </row>
    <row r="148" spans="1:5" ht="12.75">
      <c r="A148" s="4"/>
      <c r="B148" s="3"/>
      <c r="C148" s="27"/>
      <c r="D148" s="27"/>
      <c r="E148" s="27"/>
    </row>
    <row r="149" spans="1:5" ht="12.75">
      <c r="A149" s="4"/>
      <c r="B149" s="3"/>
      <c r="C149" s="27"/>
      <c r="D149" s="27"/>
      <c r="E149" s="27"/>
    </row>
    <row r="150" spans="1:5" ht="12.75">
      <c r="A150" s="4"/>
      <c r="B150" s="3"/>
      <c r="C150" s="27"/>
      <c r="D150" s="27"/>
      <c r="E150" s="27"/>
    </row>
    <row r="151" spans="1:5" ht="12.75">
      <c r="A151" s="4"/>
      <c r="B151" s="3"/>
      <c r="C151" s="27"/>
      <c r="D151" s="27"/>
      <c r="E151" s="27"/>
    </row>
    <row r="152" spans="1:5" ht="12.75">
      <c r="A152" s="4"/>
      <c r="B152" s="3"/>
      <c r="C152" s="27"/>
      <c r="D152" s="27"/>
      <c r="E152" s="27"/>
    </row>
    <row r="153" spans="1:5" ht="12.75">
      <c r="A153" s="4"/>
      <c r="B153" s="3"/>
      <c r="C153" s="27"/>
      <c r="D153" s="27"/>
      <c r="E153" s="27"/>
    </row>
    <row r="154" spans="1:6" s="25" customFormat="1" ht="12.75">
      <c r="A154" s="4"/>
      <c r="B154" s="3"/>
      <c r="C154" s="27"/>
      <c r="D154" s="27"/>
      <c r="E154" s="27"/>
      <c r="F154"/>
    </row>
    <row r="155" spans="1:6" s="25" customFormat="1" ht="12.75">
      <c r="A155" s="4"/>
      <c r="B155" s="3"/>
      <c r="C155" s="27"/>
      <c r="D155" s="27"/>
      <c r="E155" s="27"/>
      <c r="F155"/>
    </row>
    <row r="156" spans="1:6" s="25" customFormat="1" ht="12.75">
      <c r="A156" s="4"/>
      <c r="B156" s="3"/>
      <c r="C156" s="27"/>
      <c r="D156" s="27"/>
      <c r="E156" s="27"/>
      <c r="F156"/>
    </row>
    <row r="157" spans="1:6" s="25" customFormat="1" ht="12.75">
      <c r="A157" s="4"/>
      <c r="B157" s="3"/>
      <c r="C157" s="27"/>
      <c r="D157" s="27"/>
      <c r="E157" s="27"/>
      <c r="F157"/>
    </row>
    <row r="158" spans="1:6" s="25" customFormat="1" ht="12.75">
      <c r="A158" s="4"/>
      <c r="B158" s="3"/>
      <c r="C158" s="27"/>
      <c r="D158" s="27"/>
      <c r="E158" s="27"/>
      <c r="F158"/>
    </row>
    <row r="159" spans="1:6" s="25" customFormat="1" ht="12.75">
      <c r="A159" s="4"/>
      <c r="B159" s="3"/>
      <c r="C159" s="27"/>
      <c r="D159" s="27"/>
      <c r="E159" s="27"/>
      <c r="F159"/>
    </row>
    <row r="160" spans="1:6" s="25" customFormat="1" ht="12.75">
      <c r="A160" s="4"/>
      <c r="B160" s="3"/>
      <c r="C160" s="27"/>
      <c r="D160" s="27"/>
      <c r="E160" s="27"/>
      <c r="F160"/>
    </row>
    <row r="161" spans="1:6" s="25" customFormat="1" ht="12.75">
      <c r="A161" s="4"/>
      <c r="B161" s="3"/>
      <c r="C161" s="27"/>
      <c r="D161" s="27"/>
      <c r="E161" s="27"/>
      <c r="F161"/>
    </row>
    <row r="162" spans="1:6" s="25" customFormat="1" ht="12.75">
      <c r="A162" s="4"/>
      <c r="B162" s="3"/>
      <c r="C162" s="27"/>
      <c r="D162" s="27"/>
      <c r="E162" s="27"/>
      <c r="F162"/>
    </row>
    <row r="163" spans="1:6" s="25" customFormat="1" ht="12.75">
      <c r="A163" s="4"/>
      <c r="B163" s="3"/>
      <c r="C163" s="27"/>
      <c r="D163" s="27"/>
      <c r="E163" s="27"/>
      <c r="F163"/>
    </row>
    <row r="164" spans="1:6" s="25" customFormat="1" ht="12.75">
      <c r="A164" s="4"/>
      <c r="B164" s="3"/>
      <c r="C164" s="27"/>
      <c r="D164" s="27"/>
      <c r="E164" s="27"/>
      <c r="F164"/>
    </row>
    <row r="165" spans="1:6" s="25" customFormat="1" ht="12.75">
      <c r="A165" s="4"/>
      <c r="B165" s="3"/>
      <c r="C165" s="27"/>
      <c r="D165" s="27"/>
      <c r="E165" s="27"/>
      <c r="F165"/>
    </row>
    <row r="166" spans="1:6" s="25" customFormat="1" ht="12.75">
      <c r="A166" s="4"/>
      <c r="B166" s="3"/>
      <c r="C166" s="27"/>
      <c r="D166" s="27"/>
      <c r="E166" s="27"/>
      <c r="F166"/>
    </row>
    <row r="167" spans="1:6" s="25" customFormat="1" ht="12.75">
      <c r="A167" s="4"/>
      <c r="B167" s="3"/>
      <c r="C167" s="27"/>
      <c r="D167" s="27"/>
      <c r="E167" s="27"/>
      <c r="F167"/>
    </row>
    <row r="168" spans="1:6" s="25" customFormat="1" ht="12.75">
      <c r="A168" s="4"/>
      <c r="B168"/>
      <c r="C168" s="27"/>
      <c r="D168" s="27"/>
      <c r="E168" s="27"/>
      <c r="F168"/>
    </row>
  </sheetData>
  <sheetProtection/>
  <mergeCells count="6">
    <mergeCell ref="A1:E1"/>
    <mergeCell ref="A2:A3"/>
    <mergeCell ref="B2:B3"/>
    <mergeCell ref="E2:E3"/>
    <mergeCell ref="C2:C3"/>
    <mergeCell ref="D2:D3"/>
  </mergeCells>
  <printOptions horizontalCentered="1"/>
  <pageMargins left="0.2755905511811024" right="0.15748031496062992" top="0.35433070866141736" bottom="0.3937007874015748" header="0.2755905511811024" footer="0.15748031496062992"/>
  <pageSetup horizontalDpi="600" verticalDpi="600" orientation="landscape" paperSize="9" scale="120" r:id="rId1"/>
  <headerFooter alignWithMargins="0">
    <oddFooter>&amp;R&amp;P</oddFooter>
  </headerFooter>
  <rowBreaks count="3" manualBreakCount="3">
    <brk id="29" max="4" man="1"/>
    <brk id="50" max="4" man="1"/>
    <brk id="73" max="4" man="1"/>
  </rowBreaks>
  <colBreaks count="1" manualBreakCount="1">
    <brk id="5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zoomScalePageLayoutView="0" workbookViewId="0" topLeftCell="A1">
      <pane ySplit="3" topLeftCell="A4" activePane="bottomLeft" state="frozen"/>
      <selection pane="topLeft" activeCell="B41" sqref="B41"/>
      <selection pane="bottomLeft" activeCell="I27" sqref="I27:I39"/>
    </sheetView>
  </sheetViews>
  <sheetFormatPr defaultColWidth="9.140625" defaultRowHeight="12.75"/>
  <cols>
    <col min="1" max="1" width="13.8515625" style="0" customWidth="1"/>
    <col min="2" max="2" width="8.140625" style="0" customWidth="1"/>
    <col min="3" max="3" width="57.7109375" style="0" customWidth="1"/>
    <col min="4" max="4" width="16.28125" style="25" customWidth="1"/>
    <col min="5" max="5" width="16.421875" style="25" customWidth="1"/>
    <col min="6" max="6" width="11.00390625" style="25" customWidth="1"/>
    <col min="7" max="7" width="10.00390625" style="25" customWidth="1"/>
    <col min="8" max="8" width="3.57421875" style="0" customWidth="1"/>
    <col min="9" max="9" width="16.140625" style="0" customWidth="1"/>
    <col min="10" max="10" width="15.28125" style="0" customWidth="1"/>
    <col min="11" max="11" width="16.00390625" style="0" customWidth="1"/>
    <col min="12" max="12" width="16.00390625" style="0" bestFit="1" customWidth="1"/>
    <col min="13" max="13" width="11.7109375" style="0" bestFit="1" customWidth="1"/>
  </cols>
  <sheetData>
    <row r="1" spans="1:12" ht="39.75" customHeight="1" thickBot="1">
      <c r="A1" s="489" t="s">
        <v>540</v>
      </c>
      <c r="B1" s="489"/>
      <c r="C1" s="489"/>
      <c r="D1" s="489"/>
      <c r="E1" s="489"/>
      <c r="F1" s="489"/>
      <c r="G1" s="489"/>
      <c r="K1" s="461"/>
      <c r="L1" s="463"/>
    </row>
    <row r="2" spans="1:12" ht="18.75" customHeight="1" thickTop="1">
      <c r="A2" s="503" t="s">
        <v>57</v>
      </c>
      <c r="B2" s="505" t="s">
        <v>248</v>
      </c>
      <c r="C2" s="505" t="s">
        <v>205</v>
      </c>
      <c r="D2" s="507" t="s">
        <v>465</v>
      </c>
      <c r="E2" s="499" t="s">
        <v>545</v>
      </c>
      <c r="F2" s="507" t="s">
        <v>110</v>
      </c>
      <c r="G2" s="509" t="s">
        <v>115</v>
      </c>
      <c r="H2" s="498"/>
      <c r="I2" s="501"/>
      <c r="K2" s="461"/>
      <c r="L2" s="463"/>
    </row>
    <row r="3" spans="1:9" ht="29.25" customHeight="1">
      <c r="A3" s="504"/>
      <c r="B3" s="506"/>
      <c r="C3" s="506"/>
      <c r="D3" s="508"/>
      <c r="E3" s="500"/>
      <c r="F3" s="508"/>
      <c r="G3" s="510"/>
      <c r="H3" s="498"/>
      <c r="I3" s="502"/>
    </row>
    <row r="4" spans="1:9" s="5" customFormat="1" ht="12.75" customHeight="1">
      <c r="A4" s="121">
        <v>1</v>
      </c>
      <c r="B4" s="122">
        <v>2</v>
      </c>
      <c r="C4" s="122">
        <v>3</v>
      </c>
      <c r="D4" s="122">
        <v>4</v>
      </c>
      <c r="E4" s="122">
        <v>5</v>
      </c>
      <c r="F4" s="122" t="s">
        <v>547</v>
      </c>
      <c r="G4" s="124">
        <v>7</v>
      </c>
      <c r="H4" s="133"/>
      <c r="I4" s="462"/>
    </row>
    <row r="5" spans="1:11" ht="19.5" customHeight="1">
      <c r="A5" s="60"/>
      <c r="B5" s="61"/>
      <c r="C5" s="62" t="s">
        <v>249</v>
      </c>
      <c r="D5" s="63">
        <f>D6+D22+D84+D97</f>
        <v>14329500</v>
      </c>
      <c r="E5" s="63">
        <f>E6+E22+E84+E97</f>
        <v>21126300</v>
      </c>
      <c r="F5" s="63">
        <f aca="true" t="shared" si="0" ref="F5:F37">E5/D5*100</f>
        <v>147.43222024494924</v>
      </c>
      <c r="G5" s="65">
        <f aca="true" t="shared" si="1" ref="G5:G26">E5/$E$117*100</f>
        <v>97.26075326983191</v>
      </c>
      <c r="H5" s="134"/>
      <c r="I5" s="12"/>
      <c r="J5" s="1"/>
      <c r="K5" s="1"/>
    </row>
    <row r="6" spans="1:11" ht="15" customHeight="1">
      <c r="A6" s="66">
        <v>710000</v>
      </c>
      <c r="B6" s="67"/>
      <c r="C6" s="68" t="s">
        <v>217</v>
      </c>
      <c r="D6" s="69">
        <f>D7+D9+D12+D14+D18+D20</f>
        <v>10408000</v>
      </c>
      <c r="E6" s="69">
        <f>E7+E9+E12+E14+E18+E20</f>
        <v>12405000</v>
      </c>
      <c r="F6" s="70">
        <f t="shared" si="0"/>
        <v>119.18716372021522</v>
      </c>
      <c r="G6" s="72">
        <f t="shared" si="1"/>
        <v>57.10984149199173</v>
      </c>
      <c r="H6" s="134"/>
      <c r="I6" s="12"/>
      <c r="J6" s="1"/>
      <c r="K6" s="1"/>
    </row>
    <row r="7" spans="1:11" ht="14.25" customHeight="1" hidden="1">
      <c r="A7" s="73">
        <v>711100</v>
      </c>
      <c r="B7" s="74"/>
      <c r="C7" s="75" t="s">
        <v>186</v>
      </c>
      <c r="D7" s="76">
        <f>SUM(D8)</f>
        <v>0</v>
      </c>
      <c r="E7" s="76">
        <f>SUM(E8)</f>
        <v>0</v>
      </c>
      <c r="F7" s="63" t="e">
        <f t="shared" si="0"/>
        <v>#DIV/0!</v>
      </c>
      <c r="G7" s="79">
        <f t="shared" si="1"/>
        <v>0</v>
      </c>
      <c r="H7" s="134"/>
      <c r="I7" s="12"/>
      <c r="J7" s="1"/>
      <c r="K7" s="1"/>
    </row>
    <row r="8" spans="1:11" ht="14.25" customHeight="1" hidden="1">
      <c r="A8" s="80">
        <v>711113</v>
      </c>
      <c r="B8" s="81"/>
      <c r="C8" s="82" t="s">
        <v>218</v>
      </c>
      <c r="D8" s="83">
        <v>0</v>
      </c>
      <c r="E8" s="83">
        <v>0</v>
      </c>
      <c r="F8" s="63" t="e">
        <f t="shared" si="0"/>
        <v>#DIV/0!</v>
      </c>
      <c r="G8" s="85">
        <f t="shared" si="1"/>
        <v>0</v>
      </c>
      <c r="H8" s="134"/>
      <c r="I8" s="12"/>
      <c r="J8" s="1"/>
      <c r="K8" s="1"/>
    </row>
    <row r="9" spans="1:11" ht="15" customHeight="1">
      <c r="A9" s="66">
        <v>713000</v>
      </c>
      <c r="B9" s="67"/>
      <c r="C9" s="86" t="s">
        <v>4</v>
      </c>
      <c r="D9" s="76">
        <f>SUM(D10:D11)</f>
        <v>930000</v>
      </c>
      <c r="E9" s="76">
        <f>SUM(E10:E11)</f>
        <v>765000</v>
      </c>
      <c r="F9" s="77">
        <f t="shared" si="0"/>
        <v>82.25806451612904</v>
      </c>
      <c r="G9" s="79">
        <f t="shared" si="1"/>
        <v>3.5218886530732503</v>
      </c>
      <c r="H9" s="134"/>
      <c r="I9" s="12"/>
      <c r="J9" s="1"/>
      <c r="K9" s="1"/>
    </row>
    <row r="10" spans="1:11" ht="14.25" customHeight="1">
      <c r="A10" s="80" t="s">
        <v>5</v>
      </c>
      <c r="B10" s="81"/>
      <c r="C10" s="87" t="s">
        <v>219</v>
      </c>
      <c r="D10" s="83">
        <v>160000</v>
      </c>
      <c r="E10" s="83">
        <v>185000</v>
      </c>
      <c r="F10" s="141">
        <f t="shared" si="0"/>
        <v>115.625</v>
      </c>
      <c r="G10" s="85">
        <f t="shared" si="1"/>
        <v>0.8516985631615052</v>
      </c>
      <c r="H10" s="134"/>
      <c r="I10" s="12"/>
      <c r="J10" s="1"/>
      <c r="K10" s="1"/>
    </row>
    <row r="11" spans="1:11" ht="14.25" customHeight="1">
      <c r="A11" s="80" t="s">
        <v>6</v>
      </c>
      <c r="B11" s="81"/>
      <c r="C11" s="88" t="s">
        <v>7</v>
      </c>
      <c r="D11" s="83">
        <v>770000</v>
      </c>
      <c r="E11" s="83">
        <v>580000</v>
      </c>
      <c r="F11" s="141">
        <f t="shared" si="0"/>
        <v>75.32467532467533</v>
      </c>
      <c r="G11" s="85">
        <f t="shared" si="1"/>
        <v>2.6701900899117454</v>
      </c>
      <c r="H11" s="134"/>
      <c r="I11" s="12"/>
      <c r="J11" s="1"/>
      <c r="K11" s="1"/>
    </row>
    <row r="12" spans="1:11" ht="14.25" customHeight="1">
      <c r="A12" s="66">
        <v>714000</v>
      </c>
      <c r="B12" s="67"/>
      <c r="C12" s="86" t="s">
        <v>8</v>
      </c>
      <c r="D12" s="76">
        <f>SUM(D13:D13)</f>
        <v>250000</v>
      </c>
      <c r="E12" s="76">
        <f>SUM(E13:E13)</f>
        <v>250000</v>
      </c>
      <c r="F12" s="77">
        <f t="shared" si="0"/>
        <v>100</v>
      </c>
      <c r="G12" s="79">
        <f t="shared" si="1"/>
        <v>1.150944004272304</v>
      </c>
      <c r="H12" s="134"/>
      <c r="I12" s="12"/>
      <c r="J12" s="1"/>
      <c r="K12" s="1"/>
    </row>
    <row r="13" spans="1:11" ht="14.25" customHeight="1">
      <c r="A13" s="89" t="s">
        <v>378</v>
      </c>
      <c r="B13" s="67"/>
      <c r="C13" s="90" t="s">
        <v>343</v>
      </c>
      <c r="D13" s="83">
        <v>250000</v>
      </c>
      <c r="E13" s="83">
        <v>250000</v>
      </c>
      <c r="F13" s="141">
        <f t="shared" si="0"/>
        <v>100</v>
      </c>
      <c r="G13" s="85">
        <f t="shared" si="1"/>
        <v>1.150944004272304</v>
      </c>
      <c r="H13" s="134"/>
      <c r="I13" s="12"/>
      <c r="J13" s="1"/>
      <c r="K13" s="1"/>
    </row>
    <row r="14" spans="1:11" ht="14.25" customHeight="1">
      <c r="A14" s="66">
        <v>715000</v>
      </c>
      <c r="B14" s="67"/>
      <c r="C14" s="86" t="s">
        <v>152</v>
      </c>
      <c r="D14" s="76">
        <f>SUM(D15:D17)</f>
        <v>5000</v>
      </c>
      <c r="E14" s="76">
        <f>SUM(E15:E17)</f>
        <v>3000</v>
      </c>
      <c r="F14" s="77">
        <f t="shared" si="0"/>
        <v>60</v>
      </c>
      <c r="G14" s="79">
        <f t="shared" si="1"/>
        <v>0.01381132805126765</v>
      </c>
      <c r="H14" s="134"/>
      <c r="I14" s="12"/>
      <c r="J14" s="1"/>
      <c r="K14" s="1"/>
    </row>
    <row r="15" spans="1:11" ht="14.25" customHeight="1">
      <c r="A15" s="91">
        <v>715110</v>
      </c>
      <c r="B15" s="92"/>
      <c r="C15" s="87" t="s">
        <v>436</v>
      </c>
      <c r="D15" s="83">
        <v>5000</v>
      </c>
      <c r="E15" s="83">
        <v>3000</v>
      </c>
      <c r="F15" s="141">
        <f t="shared" si="0"/>
        <v>60</v>
      </c>
      <c r="G15" s="85">
        <f t="shared" si="1"/>
        <v>0.01381132805126765</v>
      </c>
      <c r="H15" s="134"/>
      <c r="I15" s="12"/>
      <c r="J15" s="1"/>
      <c r="K15" s="1"/>
    </row>
    <row r="16" spans="1:11" ht="14.25" customHeight="1" hidden="1">
      <c r="A16" s="80">
        <v>715210</v>
      </c>
      <c r="B16" s="81"/>
      <c r="C16" s="88" t="s">
        <v>437</v>
      </c>
      <c r="D16" s="83">
        <v>0</v>
      </c>
      <c r="E16" s="83">
        <v>0</v>
      </c>
      <c r="F16" s="63" t="e">
        <f t="shared" si="0"/>
        <v>#DIV/0!</v>
      </c>
      <c r="G16" s="85">
        <f t="shared" si="1"/>
        <v>0</v>
      </c>
      <c r="H16" s="134"/>
      <c r="I16" s="12"/>
      <c r="J16" s="1"/>
      <c r="K16" s="1"/>
    </row>
    <row r="17" spans="1:11" ht="14.25" customHeight="1" hidden="1">
      <c r="A17" s="80">
        <v>715310</v>
      </c>
      <c r="B17" s="81"/>
      <c r="C17" s="88" t="s">
        <v>435</v>
      </c>
      <c r="D17" s="83">
        <v>0</v>
      </c>
      <c r="E17" s="83">
        <v>0</v>
      </c>
      <c r="F17" s="63" t="e">
        <f t="shared" si="0"/>
        <v>#DIV/0!</v>
      </c>
      <c r="G17" s="85">
        <f t="shared" si="1"/>
        <v>0</v>
      </c>
      <c r="H17" s="134"/>
      <c r="I17" s="12"/>
      <c r="J17" s="1"/>
      <c r="K17" s="1"/>
    </row>
    <row r="18" spans="1:11" ht="14.25" customHeight="1">
      <c r="A18" s="66">
        <v>717000</v>
      </c>
      <c r="B18" s="67"/>
      <c r="C18" s="93" t="s">
        <v>308</v>
      </c>
      <c r="D18" s="76">
        <f>SUM(D19)</f>
        <v>9200000</v>
      </c>
      <c r="E18" s="76">
        <f>SUM(E19)</f>
        <v>10387000</v>
      </c>
      <c r="F18" s="77">
        <f t="shared" si="0"/>
        <v>112.90217391304347</v>
      </c>
      <c r="G18" s="79">
        <f t="shared" si="1"/>
        <v>47.81942148950569</v>
      </c>
      <c r="H18" s="134"/>
      <c r="I18" s="12"/>
      <c r="J18" s="1"/>
      <c r="K18" s="1"/>
    </row>
    <row r="19" spans="1:11" ht="14.25" customHeight="1">
      <c r="A19" s="94" t="s">
        <v>481</v>
      </c>
      <c r="B19" s="92"/>
      <c r="C19" s="88" t="s">
        <v>308</v>
      </c>
      <c r="D19" s="83">
        <v>9200000</v>
      </c>
      <c r="E19" s="83">
        <v>10387000</v>
      </c>
      <c r="F19" s="141">
        <f t="shared" si="0"/>
        <v>112.90217391304347</v>
      </c>
      <c r="G19" s="85">
        <f t="shared" si="1"/>
        <v>47.81942148950569</v>
      </c>
      <c r="H19" s="359"/>
      <c r="I19" s="12"/>
      <c r="J19" s="1"/>
      <c r="K19" s="1"/>
    </row>
    <row r="20" spans="1:11" ht="14.25" customHeight="1">
      <c r="A20" s="66">
        <v>719000</v>
      </c>
      <c r="B20" s="67"/>
      <c r="C20" s="86" t="s">
        <v>309</v>
      </c>
      <c r="D20" s="76">
        <f>SUM(D21)</f>
        <v>23000</v>
      </c>
      <c r="E20" s="76">
        <f>SUM(E21)</f>
        <v>1000000</v>
      </c>
      <c r="F20" s="77">
        <f t="shared" si="0"/>
        <v>4347.826086956522</v>
      </c>
      <c r="G20" s="79">
        <f t="shared" si="1"/>
        <v>4.603776017089216</v>
      </c>
      <c r="H20" s="134"/>
      <c r="I20" s="12"/>
      <c r="J20" s="1"/>
      <c r="K20" s="1"/>
    </row>
    <row r="21" spans="1:11" ht="14.25" customHeight="1">
      <c r="A21" s="80">
        <v>719113</v>
      </c>
      <c r="B21" s="81"/>
      <c r="C21" s="87" t="s">
        <v>9</v>
      </c>
      <c r="D21" s="83">
        <v>23000</v>
      </c>
      <c r="E21" s="83">
        <f>45000+955000</f>
        <v>1000000</v>
      </c>
      <c r="F21" s="141">
        <f t="shared" si="0"/>
        <v>4347.826086956522</v>
      </c>
      <c r="G21" s="85">
        <f t="shared" si="1"/>
        <v>4.603776017089216</v>
      </c>
      <c r="H21" s="134"/>
      <c r="I21" s="12"/>
      <c r="J21" s="1"/>
      <c r="K21" s="1"/>
    </row>
    <row r="22" spans="1:11" ht="15" customHeight="1">
      <c r="A22" s="66">
        <v>720000</v>
      </c>
      <c r="B22" s="67"/>
      <c r="C22" s="68" t="s">
        <v>220</v>
      </c>
      <c r="D22" s="69">
        <f>D23+D31+D77+D79+D82</f>
        <v>2531600</v>
      </c>
      <c r="E22" s="69">
        <f>E23+E31+E77+E79+E82</f>
        <v>7219400</v>
      </c>
      <c r="F22" s="70">
        <f t="shared" si="0"/>
        <v>285.17143308579557</v>
      </c>
      <c r="G22" s="72">
        <f t="shared" si="1"/>
        <v>33.23650057777389</v>
      </c>
      <c r="H22" s="134"/>
      <c r="I22" s="12"/>
      <c r="J22" s="1"/>
      <c r="K22" s="1"/>
    </row>
    <row r="23" spans="1:11" ht="14.25" customHeight="1">
      <c r="A23" s="66">
        <v>721000</v>
      </c>
      <c r="B23" s="67"/>
      <c r="C23" s="75" t="s">
        <v>153</v>
      </c>
      <c r="D23" s="76">
        <f>D24+D29</f>
        <v>229500</v>
      </c>
      <c r="E23" s="76">
        <f>E24+E29</f>
        <v>331300</v>
      </c>
      <c r="F23" s="77">
        <f t="shared" si="0"/>
        <v>144.35729847494554</v>
      </c>
      <c r="G23" s="79">
        <f t="shared" si="1"/>
        <v>1.5252309944616576</v>
      </c>
      <c r="H23" s="134"/>
      <c r="I23" s="12"/>
      <c r="J23" s="1"/>
      <c r="K23" s="1"/>
    </row>
    <row r="24" spans="1:11" ht="14.25" customHeight="1">
      <c r="A24" s="73">
        <v>721200</v>
      </c>
      <c r="B24" s="74"/>
      <c r="C24" s="86" t="s">
        <v>154</v>
      </c>
      <c r="D24" s="95">
        <f>SUM(D25:D28)</f>
        <v>228000</v>
      </c>
      <c r="E24" s="95">
        <f>SUM(E25:E28)</f>
        <v>330000</v>
      </c>
      <c r="F24" s="96">
        <f t="shared" si="0"/>
        <v>144.73684210526315</v>
      </c>
      <c r="G24" s="97">
        <f t="shared" si="1"/>
        <v>1.5192460856394414</v>
      </c>
      <c r="H24" s="134"/>
      <c r="I24" s="12"/>
      <c r="J24" s="1"/>
      <c r="K24" s="1"/>
    </row>
    <row r="25" spans="1:11" ht="14.25" customHeight="1">
      <c r="A25" s="80">
        <v>721222</v>
      </c>
      <c r="B25" s="81"/>
      <c r="C25" s="87" t="s">
        <v>621</v>
      </c>
      <c r="D25" s="83">
        <v>14500</v>
      </c>
      <c r="E25" s="83">
        <v>19500</v>
      </c>
      <c r="F25" s="141">
        <f t="shared" si="0"/>
        <v>134.48275862068965</v>
      </c>
      <c r="G25" s="85">
        <f t="shared" si="1"/>
        <v>0.08977363233323972</v>
      </c>
      <c r="H25" s="134"/>
      <c r="I25" s="12"/>
      <c r="J25" s="1"/>
      <c r="K25" s="1"/>
    </row>
    <row r="26" spans="1:11" ht="14.25" customHeight="1">
      <c r="A26" s="142">
        <v>721222</v>
      </c>
      <c r="B26" s="81"/>
      <c r="C26" s="87" t="s">
        <v>622</v>
      </c>
      <c r="D26" s="83">
        <v>0</v>
      </c>
      <c r="E26" s="83">
        <v>44500</v>
      </c>
      <c r="F26" s="141">
        <v>0</v>
      </c>
      <c r="G26" s="85">
        <f t="shared" si="1"/>
        <v>0.20486803276047014</v>
      </c>
      <c r="H26" s="134"/>
      <c r="I26" s="12"/>
      <c r="J26" s="1"/>
      <c r="K26" s="1"/>
    </row>
    <row r="27" spans="1:10" ht="14.25" customHeight="1">
      <c r="A27" s="80">
        <v>721223</v>
      </c>
      <c r="B27" s="81"/>
      <c r="C27" s="88" t="s">
        <v>10</v>
      </c>
      <c r="D27" s="109">
        <v>200000</v>
      </c>
      <c r="E27" s="83">
        <v>250000</v>
      </c>
      <c r="F27" s="141">
        <f t="shared" si="0"/>
        <v>125</v>
      </c>
      <c r="G27" s="85">
        <f aca="true" t="shared" si="2" ref="G27:G59">E27/$E$117*100</f>
        <v>1.150944004272304</v>
      </c>
      <c r="H27" s="134"/>
      <c r="I27" s="1"/>
      <c r="J27" s="1"/>
    </row>
    <row r="28" spans="1:10" ht="14.25" customHeight="1">
      <c r="A28" s="80">
        <v>721224</v>
      </c>
      <c r="B28" s="81"/>
      <c r="C28" s="88" t="s">
        <v>221</v>
      </c>
      <c r="D28" s="83">
        <v>13500</v>
      </c>
      <c r="E28" s="83">
        <v>16000</v>
      </c>
      <c r="F28" s="141">
        <f t="shared" si="0"/>
        <v>118.5185185185185</v>
      </c>
      <c r="G28" s="85">
        <f t="shared" si="2"/>
        <v>0.07366041627342747</v>
      </c>
      <c r="H28" s="134"/>
      <c r="I28" s="1"/>
      <c r="J28" s="1"/>
    </row>
    <row r="29" spans="1:10" ht="14.25" customHeight="1">
      <c r="A29" s="73">
        <v>721300</v>
      </c>
      <c r="B29" s="74"/>
      <c r="C29" s="86" t="s">
        <v>155</v>
      </c>
      <c r="D29" s="95">
        <f>SUM(D30:D30)</f>
        <v>1500</v>
      </c>
      <c r="E29" s="95">
        <f>SUM(E30:E30)</f>
        <v>1300</v>
      </c>
      <c r="F29" s="96">
        <f t="shared" si="0"/>
        <v>86.66666666666667</v>
      </c>
      <c r="G29" s="97">
        <f t="shared" si="2"/>
        <v>0.005984908822215982</v>
      </c>
      <c r="H29" s="134"/>
      <c r="I29" s="1"/>
      <c r="J29" s="1"/>
    </row>
    <row r="30" spans="1:10" ht="14.25" customHeight="1">
      <c r="A30" s="91">
        <v>721310</v>
      </c>
      <c r="B30" s="92"/>
      <c r="C30" s="87" t="s">
        <v>222</v>
      </c>
      <c r="D30" s="83">
        <v>1500</v>
      </c>
      <c r="E30" s="83">
        <v>1300</v>
      </c>
      <c r="F30" s="141">
        <f t="shared" si="0"/>
        <v>86.66666666666667</v>
      </c>
      <c r="G30" s="85">
        <f t="shared" si="2"/>
        <v>0.005984908822215982</v>
      </c>
      <c r="H30" s="134"/>
      <c r="I30" s="1"/>
      <c r="J30" s="1"/>
    </row>
    <row r="31" spans="1:10" ht="14.25" customHeight="1">
      <c r="A31" s="66">
        <v>722000</v>
      </c>
      <c r="B31" s="67"/>
      <c r="C31" s="86" t="s">
        <v>156</v>
      </c>
      <c r="D31" s="76">
        <f>D32+D35+D44+D54</f>
        <v>2180100</v>
      </c>
      <c r="E31" s="76">
        <f>E32+E35+E44+E54</f>
        <v>6715000</v>
      </c>
      <c r="F31" s="77">
        <f t="shared" si="0"/>
        <v>308.0133938810147</v>
      </c>
      <c r="G31" s="79">
        <f t="shared" si="2"/>
        <v>30.914355954754093</v>
      </c>
      <c r="H31" s="134"/>
      <c r="I31" s="1"/>
      <c r="J31" s="1"/>
    </row>
    <row r="32" spans="1:10" ht="14.25" customHeight="1">
      <c r="A32" s="73">
        <v>722100</v>
      </c>
      <c r="B32" s="74"/>
      <c r="C32" s="86" t="s">
        <v>11</v>
      </c>
      <c r="D32" s="98">
        <f>SUM(D33:D34)</f>
        <v>142000</v>
      </c>
      <c r="E32" s="98">
        <f>SUM(E33:E34)</f>
        <v>142000</v>
      </c>
      <c r="F32" s="96">
        <f t="shared" si="0"/>
        <v>100</v>
      </c>
      <c r="G32" s="97">
        <f t="shared" si="2"/>
        <v>0.6537361944266687</v>
      </c>
      <c r="H32" s="134"/>
      <c r="I32" s="1"/>
      <c r="J32" s="1"/>
    </row>
    <row r="33" spans="1:10" ht="13.5" customHeight="1" hidden="1">
      <c r="A33" s="80">
        <v>722118</v>
      </c>
      <c r="B33" s="74"/>
      <c r="C33" s="87" t="s">
        <v>352</v>
      </c>
      <c r="D33" s="83">
        <v>0</v>
      </c>
      <c r="E33" s="83">
        <v>0</v>
      </c>
      <c r="F33" s="96" t="e">
        <f t="shared" si="0"/>
        <v>#DIV/0!</v>
      </c>
      <c r="G33" s="85">
        <f t="shared" si="2"/>
        <v>0</v>
      </c>
      <c r="H33" s="134"/>
      <c r="I33" s="1"/>
      <c r="J33" s="1"/>
    </row>
    <row r="34" spans="1:10" ht="14.25" customHeight="1">
      <c r="A34" s="80">
        <v>722121</v>
      </c>
      <c r="B34" s="81"/>
      <c r="C34" s="87" t="s">
        <v>12</v>
      </c>
      <c r="D34" s="109">
        <v>142000</v>
      </c>
      <c r="E34" s="109">
        <v>142000</v>
      </c>
      <c r="F34" s="141">
        <f t="shared" si="0"/>
        <v>100</v>
      </c>
      <c r="G34" s="85">
        <f t="shared" si="2"/>
        <v>0.6537361944266687</v>
      </c>
      <c r="H34" s="134"/>
      <c r="I34" s="1"/>
      <c r="J34" s="1"/>
    </row>
    <row r="35" spans="1:10" ht="14.25" customHeight="1">
      <c r="A35" s="73">
        <v>722300</v>
      </c>
      <c r="B35" s="74"/>
      <c r="C35" s="86" t="s">
        <v>13</v>
      </c>
      <c r="D35" s="98">
        <f>SUM(D36:D43)</f>
        <v>633500</v>
      </c>
      <c r="E35" s="98">
        <f>SUM(E36:E43)</f>
        <v>725900</v>
      </c>
      <c r="F35" s="96">
        <f t="shared" si="0"/>
        <v>114.58563535911601</v>
      </c>
      <c r="G35" s="97">
        <f t="shared" si="2"/>
        <v>3.3418810108050625</v>
      </c>
      <c r="H35" s="134"/>
      <c r="I35" s="1"/>
      <c r="J35" s="1"/>
    </row>
    <row r="36" spans="1:10" ht="14.25" customHeight="1">
      <c r="A36" s="80">
        <v>722312</v>
      </c>
      <c r="B36" s="81"/>
      <c r="C36" s="87" t="s">
        <v>285</v>
      </c>
      <c r="D36" s="83">
        <v>350000</v>
      </c>
      <c r="E36" s="83">
        <v>410000</v>
      </c>
      <c r="F36" s="141">
        <f t="shared" si="0"/>
        <v>117.14285714285715</v>
      </c>
      <c r="G36" s="85">
        <f t="shared" si="2"/>
        <v>1.8875481670065788</v>
      </c>
      <c r="H36" s="359"/>
      <c r="I36" s="1"/>
      <c r="J36" s="1"/>
    </row>
    <row r="37" spans="1:10" ht="24" customHeight="1">
      <c r="A37" s="80">
        <v>722314</v>
      </c>
      <c r="B37" s="81"/>
      <c r="C37" s="87" t="s">
        <v>286</v>
      </c>
      <c r="D37" s="83">
        <v>32000</v>
      </c>
      <c r="E37" s="83">
        <v>47000</v>
      </c>
      <c r="F37" s="141">
        <f t="shared" si="0"/>
        <v>146.875</v>
      </c>
      <c r="G37" s="85">
        <f t="shared" si="2"/>
        <v>0.2163774728031932</v>
      </c>
      <c r="H37" s="134"/>
      <c r="I37" s="1"/>
      <c r="J37" s="1"/>
    </row>
    <row r="38" spans="1:10" ht="23.25" customHeight="1">
      <c r="A38" s="80">
        <v>722316</v>
      </c>
      <c r="B38" s="81"/>
      <c r="C38" s="87" t="s">
        <v>14</v>
      </c>
      <c r="D38" s="83">
        <v>0</v>
      </c>
      <c r="E38" s="83">
        <v>0</v>
      </c>
      <c r="F38" s="141">
        <v>0</v>
      </c>
      <c r="G38" s="85">
        <f t="shared" si="2"/>
        <v>0</v>
      </c>
      <c r="H38" s="134"/>
      <c r="I38" s="1"/>
      <c r="J38" s="1"/>
    </row>
    <row r="39" spans="1:10" ht="25.5" customHeight="1">
      <c r="A39" s="80">
        <v>722317</v>
      </c>
      <c r="B39" s="81"/>
      <c r="C39" s="87" t="s">
        <v>287</v>
      </c>
      <c r="D39" s="83">
        <v>0</v>
      </c>
      <c r="E39" s="83">
        <v>0</v>
      </c>
      <c r="F39" s="141">
        <v>0</v>
      </c>
      <c r="G39" s="85">
        <f t="shared" si="2"/>
        <v>0</v>
      </c>
      <c r="H39" s="134"/>
      <c r="I39" s="1"/>
      <c r="J39" s="1"/>
    </row>
    <row r="40" spans="1:11" ht="14.25" customHeight="1">
      <c r="A40" s="80">
        <v>722318</v>
      </c>
      <c r="B40" s="81"/>
      <c r="C40" s="87" t="s">
        <v>15</v>
      </c>
      <c r="D40" s="109">
        <v>2500</v>
      </c>
      <c r="E40" s="109">
        <v>2500</v>
      </c>
      <c r="F40" s="141">
        <f aca="true" t="shared" si="3" ref="F40:F86">E40/D40*100</f>
        <v>100</v>
      </c>
      <c r="G40" s="85">
        <f t="shared" si="2"/>
        <v>0.011509440042723041</v>
      </c>
      <c r="H40" s="134"/>
      <c r="I40" s="12"/>
      <c r="J40" s="1"/>
      <c r="K40" s="1"/>
    </row>
    <row r="41" spans="1:11" ht="24.75" customHeight="1">
      <c r="A41" s="80">
        <v>722319</v>
      </c>
      <c r="B41" s="81"/>
      <c r="C41" s="87" t="s">
        <v>627</v>
      </c>
      <c r="D41" s="109">
        <v>220000</v>
      </c>
      <c r="E41" s="109">
        <v>231000</v>
      </c>
      <c r="F41" s="141">
        <f t="shared" si="3"/>
        <v>105</v>
      </c>
      <c r="G41" s="85">
        <f t="shared" si="2"/>
        <v>1.063472259947609</v>
      </c>
      <c r="H41" s="359"/>
      <c r="I41" s="12"/>
      <c r="J41" s="1"/>
      <c r="K41" s="1"/>
    </row>
    <row r="42" spans="1:11" ht="24.75" customHeight="1">
      <c r="A42" s="80">
        <v>722391</v>
      </c>
      <c r="B42" s="81"/>
      <c r="C42" s="87" t="s">
        <v>16</v>
      </c>
      <c r="D42" s="83">
        <v>13000</v>
      </c>
      <c r="E42" s="83">
        <v>13000</v>
      </c>
      <c r="F42" s="141">
        <f t="shared" si="3"/>
        <v>100</v>
      </c>
      <c r="G42" s="85">
        <f t="shared" si="2"/>
        <v>0.05984908822215982</v>
      </c>
      <c r="H42" s="134"/>
      <c r="I42" s="12"/>
      <c r="J42" s="1"/>
      <c r="K42" s="1"/>
    </row>
    <row r="43" spans="1:11" ht="14.25" customHeight="1">
      <c r="A43" s="80">
        <v>722396</v>
      </c>
      <c r="B43" s="81"/>
      <c r="C43" s="87" t="s">
        <v>157</v>
      </c>
      <c r="D43" s="83">
        <v>16000</v>
      </c>
      <c r="E43" s="83">
        <v>22400</v>
      </c>
      <c r="F43" s="141">
        <f t="shared" si="3"/>
        <v>140</v>
      </c>
      <c r="G43" s="85">
        <f t="shared" si="2"/>
        <v>0.10312458278279844</v>
      </c>
      <c r="H43" s="134"/>
      <c r="I43" s="375"/>
      <c r="J43" s="1"/>
      <c r="K43" s="1"/>
    </row>
    <row r="44" spans="1:11" ht="14.25" customHeight="1">
      <c r="A44" s="73">
        <v>722400</v>
      </c>
      <c r="B44" s="74"/>
      <c r="C44" s="93" t="s">
        <v>17</v>
      </c>
      <c r="D44" s="96">
        <f>SUM(D45:D53)</f>
        <v>1091500</v>
      </c>
      <c r="E44" s="96">
        <f>SUM(E45:E53)</f>
        <v>1264000</v>
      </c>
      <c r="F44" s="96">
        <f t="shared" si="3"/>
        <v>115.80393953275309</v>
      </c>
      <c r="G44" s="97">
        <f t="shared" si="2"/>
        <v>5.81917288560077</v>
      </c>
      <c r="H44" s="134"/>
      <c r="I44" s="12"/>
      <c r="J44" s="1"/>
      <c r="K44" s="1"/>
    </row>
    <row r="45" spans="1:11" ht="14.25" customHeight="1">
      <c r="A45" s="80">
        <v>722411</v>
      </c>
      <c r="B45" s="81"/>
      <c r="C45" s="87" t="s">
        <v>283</v>
      </c>
      <c r="D45" s="109">
        <v>210000</v>
      </c>
      <c r="E45" s="83">
        <v>260000</v>
      </c>
      <c r="F45" s="141">
        <f t="shared" si="3"/>
        <v>123.80952380952381</v>
      </c>
      <c r="G45" s="85">
        <f t="shared" si="2"/>
        <v>1.1969817644431964</v>
      </c>
      <c r="H45" s="134"/>
      <c r="I45" s="12"/>
      <c r="J45" s="1"/>
      <c r="K45" s="1"/>
    </row>
    <row r="46" spans="1:11" ht="14.25" customHeight="1">
      <c r="A46" s="80">
        <v>722424</v>
      </c>
      <c r="B46" s="81"/>
      <c r="C46" s="87" t="s">
        <v>223</v>
      </c>
      <c r="D46" s="83">
        <v>45000</v>
      </c>
      <c r="E46" s="83">
        <v>52000</v>
      </c>
      <c r="F46" s="141">
        <f t="shared" si="3"/>
        <v>115.55555555555554</v>
      </c>
      <c r="G46" s="85">
        <f t="shared" si="2"/>
        <v>0.23939635288863928</v>
      </c>
      <c r="H46" s="134"/>
      <c r="I46" s="12"/>
      <c r="J46" s="1"/>
      <c r="K46" s="1"/>
    </row>
    <row r="47" spans="1:11" ht="14.25" customHeight="1">
      <c r="A47" s="80">
        <v>722425</v>
      </c>
      <c r="B47" s="81"/>
      <c r="C47" s="87" t="s">
        <v>224</v>
      </c>
      <c r="D47" s="83">
        <v>170000</v>
      </c>
      <c r="E47" s="83">
        <v>200000</v>
      </c>
      <c r="F47" s="141">
        <f t="shared" si="3"/>
        <v>117.64705882352942</v>
      </c>
      <c r="G47" s="85">
        <f t="shared" si="2"/>
        <v>0.9207552034178433</v>
      </c>
      <c r="H47" s="134"/>
      <c r="I47" s="12"/>
      <c r="J47" s="1"/>
      <c r="K47" s="1"/>
    </row>
    <row r="48" spans="1:11" ht="36" customHeight="1">
      <c r="A48" s="80">
        <v>722435</v>
      </c>
      <c r="B48" s="81"/>
      <c r="C48" s="87" t="s">
        <v>284</v>
      </c>
      <c r="D48" s="109">
        <v>220000</v>
      </c>
      <c r="E48" s="109">
        <v>220000</v>
      </c>
      <c r="F48" s="141">
        <f t="shared" si="3"/>
        <v>100</v>
      </c>
      <c r="G48" s="85">
        <f t="shared" si="2"/>
        <v>1.0128307237596277</v>
      </c>
      <c r="H48" s="134"/>
      <c r="I48" s="12"/>
      <c r="J48" s="1"/>
      <c r="K48" s="1"/>
    </row>
    <row r="49" spans="1:11" ht="24" customHeight="1">
      <c r="A49" s="80">
        <v>722437</v>
      </c>
      <c r="B49" s="81"/>
      <c r="C49" s="87" t="s">
        <v>235</v>
      </c>
      <c r="D49" s="83">
        <v>32000</v>
      </c>
      <c r="E49" s="83">
        <v>32000</v>
      </c>
      <c r="F49" s="141">
        <f t="shared" si="3"/>
        <v>100</v>
      </c>
      <c r="G49" s="85">
        <f t="shared" si="2"/>
        <v>0.14732083254685494</v>
      </c>
      <c r="H49" s="134"/>
      <c r="I49" s="12"/>
      <c r="J49" s="1"/>
      <c r="K49" s="1"/>
    </row>
    <row r="50" spans="1:11" ht="26.25" customHeight="1">
      <c r="A50" s="91">
        <v>722440</v>
      </c>
      <c r="B50" s="92"/>
      <c r="C50" s="90" t="s">
        <v>413</v>
      </c>
      <c r="D50" s="83">
        <v>100000</v>
      </c>
      <c r="E50" s="83">
        <v>125000</v>
      </c>
      <c r="F50" s="141">
        <f t="shared" si="3"/>
        <v>125</v>
      </c>
      <c r="G50" s="85">
        <f t="shared" si="2"/>
        <v>0.575472002136152</v>
      </c>
      <c r="H50" s="134"/>
      <c r="I50" s="12"/>
      <c r="J50" s="1"/>
      <c r="K50" s="1"/>
    </row>
    <row r="51" spans="1:11" ht="24.75" customHeight="1">
      <c r="A51" s="80">
        <v>722461</v>
      </c>
      <c r="B51" s="81"/>
      <c r="C51" s="87" t="s">
        <v>56</v>
      </c>
      <c r="D51" s="83">
        <v>180000</v>
      </c>
      <c r="E51" s="83">
        <v>190000</v>
      </c>
      <c r="F51" s="141">
        <f t="shared" si="3"/>
        <v>105.55555555555556</v>
      </c>
      <c r="G51" s="85">
        <f t="shared" si="2"/>
        <v>0.8747174432469511</v>
      </c>
      <c r="H51" s="134"/>
      <c r="I51" s="12"/>
      <c r="J51" s="1"/>
      <c r="K51" s="1"/>
    </row>
    <row r="52" spans="1:11" ht="13.5" customHeight="1">
      <c r="A52" s="80">
        <v>722467</v>
      </c>
      <c r="B52" s="81"/>
      <c r="C52" s="87" t="s">
        <v>18</v>
      </c>
      <c r="D52" s="83">
        <v>130000</v>
      </c>
      <c r="E52" s="83">
        <v>170000</v>
      </c>
      <c r="F52" s="141">
        <f t="shared" si="3"/>
        <v>130.76923076923077</v>
      </c>
      <c r="G52" s="85">
        <f t="shared" si="2"/>
        <v>0.7826419229051668</v>
      </c>
      <c r="H52" s="134"/>
      <c r="I52" s="12"/>
      <c r="J52" s="1"/>
      <c r="K52" s="1"/>
    </row>
    <row r="53" spans="1:11" ht="24" customHeight="1">
      <c r="A53" s="80">
        <v>722491</v>
      </c>
      <c r="B53" s="81"/>
      <c r="C53" s="87" t="s">
        <v>282</v>
      </c>
      <c r="D53" s="83">
        <v>4500</v>
      </c>
      <c r="E53" s="83">
        <v>15000</v>
      </c>
      <c r="F53" s="141">
        <f t="shared" si="3"/>
        <v>333.33333333333337</v>
      </c>
      <c r="G53" s="85">
        <f t="shared" si="2"/>
        <v>0.06905664025633824</v>
      </c>
      <c r="H53" s="134"/>
      <c r="I53" s="12"/>
      <c r="J53" s="1"/>
      <c r="K53" s="1"/>
    </row>
    <row r="54" spans="1:11" ht="20.25" customHeight="1">
      <c r="A54" s="99">
        <v>722500</v>
      </c>
      <c r="B54" s="100"/>
      <c r="C54" s="86" t="s">
        <v>630</v>
      </c>
      <c r="D54" s="96">
        <f>D55+D57+D69</f>
        <v>313100</v>
      </c>
      <c r="E54" s="96">
        <f>E55+E57+E69</f>
        <v>4583100</v>
      </c>
      <c r="F54" s="96">
        <f t="shared" si="3"/>
        <v>1463.781539444267</v>
      </c>
      <c r="G54" s="97">
        <f t="shared" si="2"/>
        <v>21.099565863921587</v>
      </c>
      <c r="H54" s="134"/>
      <c r="I54" s="12"/>
      <c r="J54" s="1"/>
      <c r="K54" s="1"/>
    </row>
    <row r="55" spans="1:11" ht="24" customHeight="1">
      <c r="A55" s="80"/>
      <c r="B55" s="414"/>
      <c r="C55" s="401" t="s">
        <v>661</v>
      </c>
      <c r="D55" s="404">
        <f>SUM(D56)</f>
        <v>10000</v>
      </c>
      <c r="E55" s="404">
        <f>SUM(E56)</f>
        <v>7300</v>
      </c>
      <c r="F55" s="404">
        <f t="shared" si="3"/>
        <v>73</v>
      </c>
      <c r="G55" s="405">
        <f t="shared" si="2"/>
        <v>0.03360756492475128</v>
      </c>
      <c r="H55" s="134"/>
      <c r="I55" s="375"/>
      <c r="J55" s="1"/>
      <c r="K55" s="1"/>
    </row>
    <row r="56" spans="1:11" ht="14.25" customHeight="1">
      <c r="A56" s="80">
        <v>722521</v>
      </c>
      <c r="B56" s="414"/>
      <c r="C56" s="407" t="s">
        <v>660</v>
      </c>
      <c r="D56" s="141">
        <v>10000</v>
      </c>
      <c r="E56" s="141">
        <v>7300</v>
      </c>
      <c r="F56" s="141">
        <f t="shared" si="3"/>
        <v>73</v>
      </c>
      <c r="G56" s="364">
        <f t="shared" si="2"/>
        <v>0.03360756492475128</v>
      </c>
      <c r="H56" s="134"/>
      <c r="I56" s="12"/>
      <c r="J56" s="1"/>
      <c r="K56" s="1"/>
    </row>
    <row r="57" spans="1:11" ht="14.25" customHeight="1">
      <c r="A57" s="80"/>
      <c r="B57" s="81"/>
      <c r="C57" s="412" t="s">
        <v>662</v>
      </c>
      <c r="D57" s="404">
        <f>SUM(D58:D68)</f>
        <v>0</v>
      </c>
      <c r="E57" s="404">
        <f>SUM(E58:E68)</f>
        <v>4265900</v>
      </c>
      <c r="F57" s="404">
        <v>0</v>
      </c>
      <c r="G57" s="405">
        <f t="shared" si="2"/>
        <v>19.639248111300887</v>
      </c>
      <c r="H57" s="134"/>
      <c r="I57" s="12"/>
      <c r="J57" s="1"/>
      <c r="K57" s="1"/>
    </row>
    <row r="58" spans="1:11" ht="14.25" customHeight="1">
      <c r="A58" s="142">
        <v>722561</v>
      </c>
      <c r="B58" s="81"/>
      <c r="C58" s="87" t="s">
        <v>605</v>
      </c>
      <c r="D58" s="83">
        <v>0</v>
      </c>
      <c r="E58" s="83">
        <v>205000</v>
      </c>
      <c r="F58" s="141">
        <v>0</v>
      </c>
      <c r="G58" s="85">
        <f t="shared" si="2"/>
        <v>0.9437740835032894</v>
      </c>
      <c r="H58" s="134"/>
      <c r="I58" s="12"/>
      <c r="J58" s="1"/>
      <c r="K58" s="1"/>
    </row>
    <row r="59" spans="1:11" ht="14.25" customHeight="1">
      <c r="A59" s="142">
        <v>722562</v>
      </c>
      <c r="B59" s="81"/>
      <c r="C59" s="87" t="s">
        <v>606</v>
      </c>
      <c r="D59" s="83">
        <v>0</v>
      </c>
      <c r="E59" s="83">
        <v>59200</v>
      </c>
      <c r="F59" s="141">
        <v>0</v>
      </c>
      <c r="G59" s="85">
        <f t="shared" si="2"/>
        <v>0.27254354021168165</v>
      </c>
      <c r="H59" s="134"/>
      <c r="I59" s="12"/>
      <c r="J59" s="1"/>
      <c r="K59" s="1"/>
    </row>
    <row r="60" spans="1:11" ht="14.25" customHeight="1">
      <c r="A60" s="142">
        <v>722565</v>
      </c>
      <c r="B60" s="81"/>
      <c r="C60" s="87" t="s">
        <v>670</v>
      </c>
      <c r="D60" s="83">
        <v>0</v>
      </c>
      <c r="E60" s="83">
        <v>364000</v>
      </c>
      <c r="F60" s="141">
        <v>0</v>
      </c>
      <c r="G60" s="85">
        <f aca="true" t="shared" si="4" ref="G60:G86">E60/$E$117*100</f>
        <v>1.6757744702204747</v>
      </c>
      <c r="H60" s="134"/>
      <c r="I60" s="12"/>
      <c r="J60" s="1"/>
      <c r="K60" s="1"/>
    </row>
    <row r="61" spans="1:11" ht="14.25" customHeight="1">
      <c r="A61" s="142">
        <v>722569</v>
      </c>
      <c r="B61" s="81"/>
      <c r="C61" s="87" t="s">
        <v>607</v>
      </c>
      <c r="D61" s="83">
        <v>0</v>
      </c>
      <c r="E61" s="83">
        <v>56000</v>
      </c>
      <c r="F61" s="141">
        <v>0</v>
      </c>
      <c r="G61" s="85">
        <f t="shared" si="4"/>
        <v>0.25781145695699614</v>
      </c>
      <c r="H61" s="134"/>
      <c r="I61" s="12"/>
      <c r="J61" s="1"/>
      <c r="K61" s="1"/>
    </row>
    <row r="62" spans="1:11" ht="14.25" customHeight="1">
      <c r="A62" s="142">
        <v>722571</v>
      </c>
      <c r="B62" s="81"/>
      <c r="C62" s="87" t="s">
        <v>608</v>
      </c>
      <c r="D62" s="83">
        <v>0</v>
      </c>
      <c r="E62" s="83">
        <v>2900000</v>
      </c>
      <c r="F62" s="141">
        <v>0</v>
      </c>
      <c r="G62" s="85">
        <f t="shared" si="4"/>
        <v>13.350950449558729</v>
      </c>
      <c r="H62" s="134"/>
      <c r="I62" s="12"/>
      <c r="J62" s="1"/>
      <c r="K62" s="1"/>
    </row>
    <row r="63" spans="1:11" ht="14.25" customHeight="1">
      <c r="A63" s="142">
        <v>722575</v>
      </c>
      <c r="B63" s="81"/>
      <c r="C63" s="87" t="s">
        <v>613</v>
      </c>
      <c r="D63" s="83">
        <v>0</v>
      </c>
      <c r="E63" s="83">
        <v>237000</v>
      </c>
      <c r="F63" s="141">
        <v>0</v>
      </c>
      <c r="G63" s="85">
        <f t="shared" si="4"/>
        <v>1.0910949160501444</v>
      </c>
      <c r="H63" s="134"/>
      <c r="I63" s="12"/>
      <c r="J63" s="1"/>
      <c r="K63" s="1"/>
    </row>
    <row r="64" spans="1:11" ht="14.25" customHeight="1">
      <c r="A64" s="142">
        <v>722576</v>
      </c>
      <c r="B64" s="81"/>
      <c r="C64" s="87" t="s">
        <v>609</v>
      </c>
      <c r="D64" s="83">
        <v>0</v>
      </c>
      <c r="E64" s="83">
        <v>36000</v>
      </c>
      <c r="F64" s="141">
        <v>0</v>
      </c>
      <c r="G64" s="85">
        <f t="shared" si="4"/>
        <v>0.1657359366152118</v>
      </c>
      <c r="H64" s="134"/>
      <c r="I64" s="12"/>
      <c r="J64" s="1"/>
      <c r="K64" s="1"/>
    </row>
    <row r="65" spans="1:11" ht="20.25" customHeight="1">
      <c r="A65" s="142">
        <v>722577</v>
      </c>
      <c r="B65" s="81"/>
      <c r="C65" s="87" t="s">
        <v>614</v>
      </c>
      <c r="D65" s="83">
        <v>0</v>
      </c>
      <c r="E65" s="83">
        <v>229600</v>
      </c>
      <c r="F65" s="141">
        <v>0</v>
      </c>
      <c r="G65" s="85">
        <f t="shared" si="4"/>
        <v>1.0570269735236841</v>
      </c>
      <c r="H65" s="134"/>
      <c r="I65" s="12"/>
      <c r="J65" s="1"/>
      <c r="K65" s="1"/>
    </row>
    <row r="66" spans="1:11" ht="14.25" customHeight="1">
      <c r="A66" s="142">
        <v>722578</v>
      </c>
      <c r="B66" s="81"/>
      <c r="C66" s="87" t="s">
        <v>610</v>
      </c>
      <c r="D66" s="83">
        <v>0</v>
      </c>
      <c r="E66" s="83">
        <v>171000</v>
      </c>
      <c r="F66" s="141">
        <v>0</v>
      </c>
      <c r="G66" s="85">
        <f t="shared" si="4"/>
        <v>0.7872456989222559</v>
      </c>
      <c r="H66" s="134"/>
      <c r="I66" s="12"/>
      <c r="J66" s="1"/>
      <c r="K66" s="1"/>
    </row>
    <row r="67" spans="1:11" ht="14.25" customHeight="1">
      <c r="A67" s="142">
        <v>722583</v>
      </c>
      <c r="B67" s="81"/>
      <c r="C67" s="87" t="s">
        <v>611</v>
      </c>
      <c r="D67" s="83">
        <v>0</v>
      </c>
      <c r="E67" s="83">
        <v>1600</v>
      </c>
      <c r="F67" s="141">
        <v>0</v>
      </c>
      <c r="G67" s="85">
        <f t="shared" si="4"/>
        <v>0.007366041627342747</v>
      </c>
      <c r="H67" s="134"/>
      <c r="I67" s="12"/>
      <c r="J67" s="1"/>
      <c r="K67" s="1"/>
    </row>
    <row r="68" spans="1:11" ht="14.25" customHeight="1">
      <c r="A68" s="142">
        <v>722589</v>
      </c>
      <c r="B68" s="81"/>
      <c r="C68" s="87" t="s">
        <v>612</v>
      </c>
      <c r="D68" s="83">
        <v>0</v>
      </c>
      <c r="E68" s="83">
        <v>6500</v>
      </c>
      <c r="F68" s="141">
        <v>0</v>
      </c>
      <c r="G68" s="85">
        <f t="shared" si="4"/>
        <v>0.02992454411107991</v>
      </c>
      <c r="H68" s="134"/>
      <c r="I68" s="12"/>
      <c r="J68" s="1"/>
      <c r="K68" s="1"/>
    </row>
    <row r="69" spans="1:11" ht="26.25" customHeight="1">
      <c r="A69" s="142"/>
      <c r="B69" s="81"/>
      <c r="C69" s="86" t="s">
        <v>663</v>
      </c>
      <c r="D69" s="96">
        <f>SUM(D70:D76)</f>
        <v>303100</v>
      </c>
      <c r="E69" s="96">
        <f>SUM(E70:E76)</f>
        <v>309900</v>
      </c>
      <c r="F69" s="404">
        <f t="shared" si="3"/>
        <v>102.2434839986803</v>
      </c>
      <c r="G69" s="405">
        <f t="shared" si="4"/>
        <v>1.426710187695948</v>
      </c>
      <c r="H69" s="134"/>
      <c r="I69" s="12"/>
      <c r="J69" s="1"/>
      <c r="K69" s="1"/>
    </row>
    <row r="70" spans="1:11" ht="14.25" customHeight="1">
      <c r="A70" s="80">
        <v>722591</v>
      </c>
      <c r="B70" s="81"/>
      <c r="C70" s="88" t="s">
        <v>381</v>
      </c>
      <c r="D70" s="83">
        <v>36000</v>
      </c>
      <c r="E70" s="83">
        <v>50000</v>
      </c>
      <c r="F70" s="141">
        <f t="shared" si="3"/>
        <v>138.88888888888889</v>
      </c>
      <c r="G70" s="85">
        <f t="shared" si="4"/>
        <v>0.23018880085446083</v>
      </c>
      <c r="H70" s="134"/>
      <c r="I70" s="12"/>
      <c r="J70" s="1"/>
      <c r="K70" s="1"/>
    </row>
    <row r="71" spans="1:11" ht="14.25" customHeight="1">
      <c r="A71" s="80">
        <v>722591</v>
      </c>
      <c r="B71" s="81"/>
      <c r="C71" s="88" t="s">
        <v>383</v>
      </c>
      <c r="D71" s="83">
        <v>233000</v>
      </c>
      <c r="E71" s="83">
        <v>230000</v>
      </c>
      <c r="F71" s="141">
        <f t="shared" si="3"/>
        <v>98.71244635193133</v>
      </c>
      <c r="G71" s="85">
        <f t="shared" si="4"/>
        <v>1.0588684839305198</v>
      </c>
      <c r="H71" s="134"/>
      <c r="I71" s="12"/>
      <c r="J71" s="1"/>
      <c r="K71" s="1"/>
    </row>
    <row r="72" spans="1:11" ht="14.25" customHeight="1">
      <c r="A72" s="80">
        <v>722591</v>
      </c>
      <c r="B72" s="81"/>
      <c r="C72" s="88" t="s">
        <v>241</v>
      </c>
      <c r="D72" s="83">
        <v>8000</v>
      </c>
      <c r="E72" s="83">
        <v>7000</v>
      </c>
      <c r="F72" s="141">
        <f t="shared" si="3"/>
        <v>87.5</v>
      </c>
      <c r="G72" s="85">
        <f t="shared" si="4"/>
        <v>0.03222643211962452</v>
      </c>
      <c r="H72" s="134"/>
      <c r="I72" s="12"/>
      <c r="J72" s="1"/>
      <c r="K72" s="1"/>
    </row>
    <row r="73" spans="1:11" ht="14.25" customHeight="1">
      <c r="A73" s="80">
        <v>722591</v>
      </c>
      <c r="B73" s="81"/>
      <c r="C73" s="87" t="s">
        <v>237</v>
      </c>
      <c r="D73" s="83">
        <v>20000</v>
      </c>
      <c r="E73" s="83">
        <v>18000</v>
      </c>
      <c r="F73" s="141">
        <f t="shared" si="3"/>
        <v>90</v>
      </c>
      <c r="G73" s="85">
        <f t="shared" si="4"/>
        <v>0.0828679683076059</v>
      </c>
      <c r="H73" s="134"/>
      <c r="I73" s="12"/>
      <c r="J73" s="1"/>
      <c r="K73" s="1"/>
    </row>
    <row r="74" spans="1:11" ht="14.25" customHeight="1">
      <c r="A74" s="80">
        <v>722591</v>
      </c>
      <c r="B74" s="81"/>
      <c r="C74" s="88" t="s">
        <v>382</v>
      </c>
      <c r="D74" s="83">
        <v>3000</v>
      </c>
      <c r="E74" s="83">
        <v>2000</v>
      </c>
      <c r="F74" s="141">
        <f t="shared" si="3"/>
        <v>66.66666666666666</v>
      </c>
      <c r="G74" s="85">
        <f t="shared" si="4"/>
        <v>0.009207552034178433</v>
      </c>
      <c r="H74" s="134"/>
      <c r="I74" s="12"/>
      <c r="J74" s="1"/>
      <c r="K74" s="1"/>
    </row>
    <row r="75" spans="1:11" ht="14.25" customHeight="1">
      <c r="A75" s="80">
        <v>722591</v>
      </c>
      <c r="B75" s="81"/>
      <c r="C75" s="87" t="s">
        <v>384</v>
      </c>
      <c r="D75" s="83">
        <v>1300</v>
      </c>
      <c r="E75" s="83">
        <v>1400</v>
      </c>
      <c r="F75" s="141">
        <f t="shared" si="3"/>
        <v>107.6923076923077</v>
      </c>
      <c r="G75" s="85">
        <f t="shared" si="4"/>
        <v>0.006445286423924903</v>
      </c>
      <c r="H75" s="134"/>
      <c r="I75" s="12"/>
      <c r="J75" s="1"/>
      <c r="K75" s="1"/>
    </row>
    <row r="76" spans="1:11" ht="14.25" customHeight="1">
      <c r="A76" s="80">
        <v>722591</v>
      </c>
      <c r="B76" s="81"/>
      <c r="C76" s="87" t="s">
        <v>364</v>
      </c>
      <c r="D76" s="83">
        <v>1800</v>
      </c>
      <c r="E76" s="83">
        <v>1500</v>
      </c>
      <c r="F76" s="141">
        <f t="shared" si="3"/>
        <v>83.33333333333334</v>
      </c>
      <c r="G76" s="85">
        <f t="shared" si="4"/>
        <v>0.006905664025633825</v>
      </c>
      <c r="H76" s="134"/>
      <c r="I76" s="12"/>
      <c r="J76" s="1"/>
      <c r="K76" s="1"/>
    </row>
    <row r="77" spans="1:11" ht="14.25" customHeight="1">
      <c r="A77" s="66">
        <v>723000</v>
      </c>
      <c r="B77" s="67"/>
      <c r="C77" s="101" t="s">
        <v>19</v>
      </c>
      <c r="D77" s="102">
        <f>D78</f>
        <v>22000</v>
      </c>
      <c r="E77" s="102">
        <f>E78</f>
        <v>40000</v>
      </c>
      <c r="F77" s="77">
        <f t="shared" si="3"/>
        <v>181.8181818181818</v>
      </c>
      <c r="G77" s="79">
        <f t="shared" si="4"/>
        <v>0.18415104068356866</v>
      </c>
      <c r="H77" s="134"/>
      <c r="I77" s="12"/>
      <c r="J77" s="1"/>
      <c r="K77" s="1"/>
    </row>
    <row r="78" spans="1:11" ht="25.5" customHeight="1">
      <c r="A78" s="80">
        <v>723121</v>
      </c>
      <c r="B78" s="81"/>
      <c r="C78" s="87" t="s">
        <v>225</v>
      </c>
      <c r="D78" s="83">
        <v>22000</v>
      </c>
      <c r="E78" s="83">
        <v>40000</v>
      </c>
      <c r="F78" s="141">
        <f t="shared" si="3"/>
        <v>181.8181818181818</v>
      </c>
      <c r="G78" s="85">
        <f t="shared" si="4"/>
        <v>0.18415104068356866</v>
      </c>
      <c r="H78" s="134"/>
      <c r="I78" s="12"/>
      <c r="J78" s="1"/>
      <c r="K78" s="1"/>
    </row>
    <row r="79" spans="1:11" ht="25.5" customHeight="1">
      <c r="A79" s="449">
        <v>728000</v>
      </c>
      <c r="B79" s="402"/>
      <c r="C79" s="401" t="s">
        <v>615</v>
      </c>
      <c r="D79" s="363">
        <f>SUM(D80:D81)</f>
        <v>0</v>
      </c>
      <c r="E79" s="363">
        <f>SUM(E80:E81)</f>
        <v>33100</v>
      </c>
      <c r="F79" s="363">
        <v>0</v>
      </c>
      <c r="G79" s="403">
        <f t="shared" si="4"/>
        <v>0.15238498616565307</v>
      </c>
      <c r="H79" s="134"/>
      <c r="I79" s="12"/>
      <c r="J79" s="1"/>
      <c r="K79" s="1"/>
    </row>
    <row r="80" spans="1:11" ht="25.5" customHeight="1">
      <c r="A80" s="142">
        <v>728211</v>
      </c>
      <c r="B80" s="81"/>
      <c r="C80" s="87" t="s">
        <v>664</v>
      </c>
      <c r="D80" s="83">
        <v>0</v>
      </c>
      <c r="E80" s="83">
        <v>30100</v>
      </c>
      <c r="F80" s="141">
        <v>0</v>
      </c>
      <c r="G80" s="85">
        <f t="shared" si="4"/>
        <v>0.13857365811438543</v>
      </c>
      <c r="H80" s="134"/>
      <c r="I80" s="12"/>
      <c r="J80" s="1"/>
      <c r="K80" s="1"/>
    </row>
    <row r="81" spans="1:11" ht="25.5" customHeight="1">
      <c r="A81" s="142">
        <v>728251</v>
      </c>
      <c r="B81" s="81"/>
      <c r="C81" s="87" t="s">
        <v>665</v>
      </c>
      <c r="D81" s="83">
        <v>0</v>
      </c>
      <c r="E81" s="83">
        <v>3000</v>
      </c>
      <c r="F81" s="141">
        <v>0</v>
      </c>
      <c r="G81" s="85">
        <f t="shared" si="4"/>
        <v>0.01381132805126765</v>
      </c>
      <c r="H81" s="134"/>
      <c r="I81" s="12"/>
      <c r="J81" s="1"/>
      <c r="K81" s="1"/>
    </row>
    <row r="82" spans="1:11" ht="12.75">
      <c r="A82" s="66">
        <v>729000</v>
      </c>
      <c r="B82" s="67"/>
      <c r="C82" s="86" t="s">
        <v>20</v>
      </c>
      <c r="D82" s="102">
        <f>SUM(D83:D83)</f>
        <v>100000</v>
      </c>
      <c r="E82" s="102">
        <f>SUM(E83:E83)</f>
        <v>100000</v>
      </c>
      <c r="F82" s="77">
        <f t="shared" si="3"/>
        <v>100</v>
      </c>
      <c r="G82" s="79">
        <f t="shared" si="4"/>
        <v>0.46037760170892167</v>
      </c>
      <c r="H82" s="134"/>
      <c r="I82" s="12"/>
      <c r="J82" s="1"/>
      <c r="K82" s="1"/>
    </row>
    <row r="83" spans="1:11" ht="17.25" customHeight="1">
      <c r="A83" s="80">
        <v>729124</v>
      </c>
      <c r="B83" s="81"/>
      <c r="C83" s="103" t="s">
        <v>380</v>
      </c>
      <c r="D83" s="83">
        <v>100000</v>
      </c>
      <c r="E83" s="83">
        <v>100000</v>
      </c>
      <c r="F83" s="141">
        <f t="shared" si="3"/>
        <v>100</v>
      </c>
      <c r="G83" s="85">
        <f t="shared" si="4"/>
        <v>0.46037760170892167</v>
      </c>
      <c r="H83" s="134"/>
      <c r="I83" s="12"/>
      <c r="J83" s="1"/>
      <c r="K83" s="1"/>
    </row>
    <row r="84" spans="1:11" ht="15" customHeight="1">
      <c r="A84" s="104">
        <v>730000</v>
      </c>
      <c r="B84" s="105"/>
      <c r="C84" s="106" t="s">
        <v>226</v>
      </c>
      <c r="D84" s="69">
        <f>D85+D90</f>
        <v>0</v>
      </c>
      <c r="E84" s="69">
        <f>E85+E90</f>
        <v>0</v>
      </c>
      <c r="F84" s="70">
        <v>0</v>
      </c>
      <c r="G84" s="72">
        <f t="shared" si="4"/>
        <v>0</v>
      </c>
      <c r="H84" s="134"/>
      <c r="I84" s="12"/>
      <c r="J84" s="1"/>
      <c r="K84" s="1"/>
    </row>
    <row r="85" spans="1:11" ht="11.25" customHeight="1">
      <c r="A85" s="99">
        <v>731100</v>
      </c>
      <c r="B85" s="105"/>
      <c r="C85" s="107" t="s">
        <v>420</v>
      </c>
      <c r="D85" s="76">
        <f>SUM(D87:D89)</f>
        <v>0</v>
      </c>
      <c r="E85" s="76">
        <f>SUM(E87:E89)</f>
        <v>0</v>
      </c>
      <c r="F85" s="77">
        <v>0</v>
      </c>
      <c r="G85" s="79">
        <f t="shared" si="4"/>
        <v>0</v>
      </c>
      <c r="H85" s="134"/>
      <c r="I85" s="12"/>
      <c r="J85" s="1"/>
      <c r="K85" s="1"/>
    </row>
    <row r="86" spans="1:11" ht="25.5" customHeight="1" hidden="1">
      <c r="A86" s="94">
        <v>731120</v>
      </c>
      <c r="B86" s="105"/>
      <c r="C86" s="108" t="s">
        <v>422</v>
      </c>
      <c r="D86" s="109">
        <v>0</v>
      </c>
      <c r="E86" s="109">
        <v>0</v>
      </c>
      <c r="F86" s="63" t="e">
        <f t="shared" si="3"/>
        <v>#DIV/0!</v>
      </c>
      <c r="G86" s="110">
        <f t="shared" si="4"/>
        <v>0</v>
      </c>
      <c r="H86" s="134"/>
      <c r="I86" s="12"/>
      <c r="J86" s="1"/>
      <c r="K86" s="1"/>
    </row>
    <row r="87" spans="1:11" ht="23.25" customHeight="1" hidden="1">
      <c r="A87" s="142">
        <v>731110</v>
      </c>
      <c r="B87" s="143"/>
      <c r="C87" s="144" t="s">
        <v>476</v>
      </c>
      <c r="D87" s="109">
        <v>0</v>
      </c>
      <c r="E87" s="109">
        <v>0</v>
      </c>
      <c r="F87" s="141" t="e">
        <f aca="true" t="shared" si="5" ref="F87:F117">E87/D87*100</f>
        <v>#DIV/0!</v>
      </c>
      <c r="G87" s="110">
        <f aca="true" t="shared" si="6" ref="G87:G117">E87/$E$117*100</f>
        <v>0</v>
      </c>
      <c r="H87" s="134"/>
      <c r="I87" s="12"/>
      <c r="J87" s="1"/>
      <c r="K87" s="1"/>
    </row>
    <row r="88" spans="1:11" ht="15" customHeight="1" hidden="1">
      <c r="A88" s="94">
        <v>731100</v>
      </c>
      <c r="B88" s="111"/>
      <c r="C88" s="108" t="s">
        <v>448</v>
      </c>
      <c r="D88" s="109">
        <v>0</v>
      </c>
      <c r="E88" s="109">
        <v>0</v>
      </c>
      <c r="F88" s="141" t="e">
        <f t="shared" si="5"/>
        <v>#DIV/0!</v>
      </c>
      <c r="G88" s="110">
        <f t="shared" si="6"/>
        <v>0</v>
      </c>
      <c r="H88" s="134"/>
      <c r="I88" s="12"/>
      <c r="J88" s="1"/>
      <c r="K88" s="1"/>
    </row>
    <row r="89" spans="1:11" ht="7.5" customHeight="1" hidden="1">
      <c r="A89" s="94">
        <v>731120</v>
      </c>
      <c r="B89" s="111"/>
      <c r="C89" s="108" t="s">
        <v>458</v>
      </c>
      <c r="D89" s="109">
        <v>0</v>
      </c>
      <c r="E89" s="109">
        <v>0</v>
      </c>
      <c r="F89" s="141" t="e">
        <f t="shared" si="5"/>
        <v>#DIV/0!</v>
      </c>
      <c r="G89" s="110">
        <f t="shared" si="6"/>
        <v>0</v>
      </c>
      <c r="H89" s="134"/>
      <c r="I89" s="12"/>
      <c r="J89" s="1"/>
      <c r="K89" s="1"/>
    </row>
    <row r="90" spans="1:11" ht="15" customHeight="1">
      <c r="A90" s="99">
        <v>731200</v>
      </c>
      <c r="B90" s="100"/>
      <c r="C90" s="107" t="s">
        <v>172</v>
      </c>
      <c r="D90" s="76">
        <f>SUM(D91:D96)</f>
        <v>0</v>
      </c>
      <c r="E90" s="76">
        <f>SUM(E91:E96)</f>
        <v>0</v>
      </c>
      <c r="F90" s="77">
        <v>0</v>
      </c>
      <c r="G90" s="79">
        <f t="shared" si="6"/>
        <v>0</v>
      </c>
      <c r="H90" s="134"/>
      <c r="I90" s="12"/>
      <c r="J90" s="1"/>
      <c r="K90" s="1"/>
    </row>
    <row r="91" spans="1:11" ht="24.75" customHeight="1" hidden="1">
      <c r="A91" s="94">
        <v>731220</v>
      </c>
      <c r="B91" s="112"/>
      <c r="C91" s="108" t="s">
        <v>475</v>
      </c>
      <c r="D91" s="109">
        <v>0</v>
      </c>
      <c r="E91" s="109">
        <v>0</v>
      </c>
      <c r="F91" s="141" t="e">
        <f t="shared" si="5"/>
        <v>#DIV/0!</v>
      </c>
      <c r="G91" s="85">
        <f t="shared" si="6"/>
        <v>0</v>
      </c>
      <c r="H91" s="134"/>
      <c r="I91" s="12"/>
      <c r="J91" s="1"/>
      <c r="K91" s="1"/>
    </row>
    <row r="92" spans="1:11" ht="11.25" customHeight="1" hidden="1">
      <c r="A92" s="80">
        <v>731200</v>
      </c>
      <c r="B92" s="81"/>
      <c r="C92" s="90" t="s">
        <v>443</v>
      </c>
      <c r="D92" s="83"/>
      <c r="E92" s="83"/>
      <c r="F92" s="141" t="e">
        <f t="shared" si="5"/>
        <v>#DIV/0!</v>
      </c>
      <c r="G92" s="85">
        <f t="shared" si="6"/>
        <v>0</v>
      </c>
      <c r="H92" s="134"/>
      <c r="I92" s="12"/>
      <c r="J92" s="1"/>
      <c r="K92" s="1"/>
    </row>
    <row r="93" spans="1:11" ht="9" customHeight="1" hidden="1">
      <c r="A93" s="80">
        <v>731200</v>
      </c>
      <c r="B93" s="81"/>
      <c r="C93" s="90" t="s">
        <v>446</v>
      </c>
      <c r="D93" s="83"/>
      <c r="E93" s="83"/>
      <c r="F93" s="141" t="e">
        <f t="shared" si="5"/>
        <v>#DIV/0!</v>
      </c>
      <c r="G93" s="85">
        <f t="shared" si="6"/>
        <v>0</v>
      </c>
      <c r="H93" s="134"/>
      <c r="I93" s="12"/>
      <c r="J93" s="1"/>
      <c r="K93" s="1"/>
    </row>
    <row r="94" spans="1:11" ht="12.75" customHeight="1" hidden="1">
      <c r="A94" s="80">
        <v>731200</v>
      </c>
      <c r="B94" s="81"/>
      <c r="C94" s="90" t="s">
        <v>386</v>
      </c>
      <c r="D94" s="83"/>
      <c r="E94" s="83"/>
      <c r="F94" s="141" t="e">
        <f t="shared" si="5"/>
        <v>#DIV/0!</v>
      </c>
      <c r="G94" s="85">
        <f t="shared" si="6"/>
        <v>0</v>
      </c>
      <c r="H94" s="134"/>
      <c r="I94" s="12"/>
      <c r="J94" s="1"/>
      <c r="K94" s="1"/>
    </row>
    <row r="95" spans="1:11" ht="12" customHeight="1" hidden="1">
      <c r="A95" s="80">
        <v>731200</v>
      </c>
      <c r="B95" s="81"/>
      <c r="C95" s="90" t="s">
        <v>387</v>
      </c>
      <c r="D95" s="83"/>
      <c r="E95" s="83"/>
      <c r="F95" s="141" t="e">
        <f t="shared" si="5"/>
        <v>#DIV/0!</v>
      </c>
      <c r="G95" s="85">
        <f t="shared" si="6"/>
        <v>0</v>
      </c>
      <c r="H95" s="134"/>
      <c r="I95" s="12"/>
      <c r="J95" s="1"/>
      <c r="K95" s="1"/>
    </row>
    <row r="96" spans="1:11" ht="24.75" customHeight="1" hidden="1">
      <c r="A96" s="80">
        <v>731200</v>
      </c>
      <c r="B96" s="81"/>
      <c r="C96" s="90" t="s">
        <v>480</v>
      </c>
      <c r="D96" s="83">
        <v>0</v>
      </c>
      <c r="E96" s="83">
        <v>0</v>
      </c>
      <c r="F96" s="141" t="e">
        <f t="shared" si="5"/>
        <v>#DIV/0!</v>
      </c>
      <c r="G96" s="85">
        <f t="shared" si="6"/>
        <v>0</v>
      </c>
      <c r="H96" s="134"/>
      <c r="I96" s="12"/>
      <c r="J96" s="1"/>
      <c r="K96" s="1"/>
    </row>
    <row r="97" spans="1:11" s="2" customFormat="1" ht="19.5" customHeight="1">
      <c r="A97" s="104">
        <v>780000</v>
      </c>
      <c r="B97" s="105"/>
      <c r="C97" s="113" t="s">
        <v>310</v>
      </c>
      <c r="D97" s="69">
        <f>D98+D108</f>
        <v>1389900</v>
      </c>
      <c r="E97" s="69">
        <f>E98+E108</f>
        <v>1501900</v>
      </c>
      <c r="F97" s="70">
        <f t="shared" si="5"/>
        <v>108.05813367868191</v>
      </c>
      <c r="G97" s="72">
        <f t="shared" si="6"/>
        <v>6.914411200066295</v>
      </c>
      <c r="H97" s="134"/>
      <c r="I97" s="12"/>
      <c r="J97" s="1"/>
      <c r="K97" s="1"/>
    </row>
    <row r="98" spans="1:11" s="2" customFormat="1" ht="24" customHeight="1">
      <c r="A98" s="66">
        <v>787000</v>
      </c>
      <c r="B98" s="67"/>
      <c r="C98" s="101" t="s">
        <v>324</v>
      </c>
      <c r="D98" s="76">
        <f>SUM(D99:D107)</f>
        <v>1389900</v>
      </c>
      <c r="E98" s="76">
        <f>SUM(E99:E107)</f>
        <v>1501900</v>
      </c>
      <c r="F98" s="77">
        <f t="shared" si="5"/>
        <v>108.05813367868191</v>
      </c>
      <c r="G98" s="79">
        <f t="shared" si="6"/>
        <v>6.914411200066295</v>
      </c>
      <c r="H98" s="134"/>
      <c r="I98" s="12"/>
      <c r="J98" s="1"/>
      <c r="K98" s="1"/>
    </row>
    <row r="99" spans="1:11" s="2" customFormat="1" ht="25.5" customHeight="1">
      <c r="A99" s="91">
        <v>787200</v>
      </c>
      <c r="B99" s="92"/>
      <c r="C99" s="186" t="s">
        <v>227</v>
      </c>
      <c r="D99" s="83">
        <v>1005000</v>
      </c>
      <c r="E99" s="83">
        <f>1151000-66000</f>
        <v>1085000</v>
      </c>
      <c r="F99" s="141">
        <f t="shared" si="5"/>
        <v>107.96019900497514</v>
      </c>
      <c r="G99" s="85">
        <f t="shared" si="6"/>
        <v>4.9950969785418</v>
      </c>
      <c r="H99" s="134"/>
      <c r="I99" s="12"/>
      <c r="J99" s="1"/>
      <c r="K99" s="1"/>
    </row>
    <row r="100" spans="1:13" s="2" customFormat="1" ht="39.75" customHeight="1">
      <c r="A100" s="91">
        <v>787200</v>
      </c>
      <c r="B100" s="92"/>
      <c r="C100" s="186" t="s">
        <v>346</v>
      </c>
      <c r="D100" s="83">
        <v>14000</v>
      </c>
      <c r="E100" s="83">
        <v>16000</v>
      </c>
      <c r="F100" s="141">
        <f t="shared" si="5"/>
        <v>114.28571428571428</v>
      </c>
      <c r="G100" s="85">
        <f t="shared" si="6"/>
        <v>0.07366041627342747</v>
      </c>
      <c r="H100" s="134"/>
      <c r="I100" s="12"/>
      <c r="J100" s="1"/>
      <c r="K100" s="1"/>
      <c r="M100" s="461"/>
    </row>
    <row r="101" spans="1:15" s="2" customFormat="1" ht="25.5" customHeight="1">
      <c r="A101" s="91">
        <v>787200</v>
      </c>
      <c r="B101" s="92"/>
      <c r="C101" s="186" t="s">
        <v>421</v>
      </c>
      <c r="D101" s="83">
        <v>4910</v>
      </c>
      <c r="E101" s="83">
        <v>4910</v>
      </c>
      <c r="F101" s="141">
        <f t="shared" si="5"/>
        <v>100</v>
      </c>
      <c r="G101" s="85">
        <f t="shared" si="6"/>
        <v>0.022604540243908053</v>
      </c>
      <c r="H101" s="134"/>
      <c r="I101" s="1"/>
      <c r="J101" s="1"/>
      <c r="K101" s="1"/>
      <c r="M101" s="461"/>
      <c r="O101" s="463"/>
    </row>
    <row r="102" spans="1:11" s="2" customFormat="1" ht="33" customHeight="1" hidden="1">
      <c r="A102" s="91">
        <v>787200</v>
      </c>
      <c r="B102" s="92"/>
      <c r="C102" s="186" t="s">
        <v>447</v>
      </c>
      <c r="D102" s="83"/>
      <c r="E102" s="83"/>
      <c r="F102" s="141" t="e">
        <f t="shared" si="5"/>
        <v>#DIV/0!</v>
      </c>
      <c r="G102" s="85">
        <f t="shared" si="6"/>
        <v>0</v>
      </c>
      <c r="H102" s="134"/>
      <c r="I102" s="12"/>
      <c r="J102" s="1"/>
      <c r="K102" s="1"/>
    </row>
    <row r="103" spans="1:13" s="2" customFormat="1" ht="23.25" customHeight="1">
      <c r="A103" s="91">
        <v>787200</v>
      </c>
      <c r="B103" s="92"/>
      <c r="C103" s="186" t="s">
        <v>438</v>
      </c>
      <c r="D103" s="83">
        <v>360000</v>
      </c>
      <c r="E103" s="83">
        <v>390000</v>
      </c>
      <c r="F103" s="141">
        <f t="shared" si="5"/>
        <v>108.33333333333333</v>
      </c>
      <c r="G103" s="85">
        <f t="shared" si="6"/>
        <v>1.7954726466647943</v>
      </c>
      <c r="H103" s="134"/>
      <c r="I103" s="11"/>
      <c r="J103" s="1"/>
      <c r="K103" s="1"/>
      <c r="M103" s="461"/>
    </row>
    <row r="104" spans="1:11" s="2" customFormat="1" ht="39.75" customHeight="1" hidden="1">
      <c r="A104" s="91">
        <v>787200</v>
      </c>
      <c r="B104" s="92"/>
      <c r="C104" s="90" t="s">
        <v>478</v>
      </c>
      <c r="D104" s="83">
        <v>0</v>
      </c>
      <c r="E104" s="83">
        <v>0</v>
      </c>
      <c r="F104" s="141" t="e">
        <f t="shared" si="5"/>
        <v>#DIV/0!</v>
      </c>
      <c r="G104" s="85">
        <f t="shared" si="6"/>
        <v>0</v>
      </c>
      <c r="H104" s="134"/>
      <c r="I104" s="11"/>
      <c r="J104" s="1"/>
      <c r="K104" s="1"/>
    </row>
    <row r="105" spans="1:11" s="2" customFormat="1" ht="24" customHeight="1">
      <c r="A105" s="91">
        <v>787200</v>
      </c>
      <c r="B105" s="92"/>
      <c r="C105" s="90" t="s">
        <v>370</v>
      </c>
      <c r="D105" s="83">
        <v>5000</v>
      </c>
      <c r="E105" s="83">
        <v>5000</v>
      </c>
      <c r="F105" s="141">
        <f t="shared" si="5"/>
        <v>100</v>
      </c>
      <c r="G105" s="85">
        <f t="shared" si="6"/>
        <v>0.023018880085446083</v>
      </c>
      <c r="H105" s="134"/>
      <c r="I105" s="11"/>
      <c r="J105" s="1"/>
      <c r="K105" s="1"/>
    </row>
    <row r="106" spans="1:11" s="2" customFormat="1" ht="24" customHeight="1">
      <c r="A106" s="91">
        <v>787300</v>
      </c>
      <c r="B106" s="92"/>
      <c r="C106" s="90" t="s">
        <v>379</v>
      </c>
      <c r="D106" s="83">
        <v>690</v>
      </c>
      <c r="E106" s="83">
        <v>690</v>
      </c>
      <c r="F106" s="141">
        <f t="shared" si="5"/>
        <v>100</v>
      </c>
      <c r="G106" s="85">
        <f t="shared" si="6"/>
        <v>0.0031766054517915593</v>
      </c>
      <c r="H106" s="134"/>
      <c r="I106" s="11"/>
      <c r="J106" s="1"/>
      <c r="K106" s="1"/>
    </row>
    <row r="107" spans="1:11" s="2" customFormat="1" ht="33" customHeight="1">
      <c r="A107" s="445"/>
      <c r="B107" s="92"/>
      <c r="C107" s="90" t="s">
        <v>397</v>
      </c>
      <c r="D107" s="83">
        <v>300</v>
      </c>
      <c r="E107" s="83">
        <v>300</v>
      </c>
      <c r="F107" s="141">
        <f t="shared" si="5"/>
        <v>100</v>
      </c>
      <c r="G107" s="85">
        <f t="shared" si="6"/>
        <v>0.001381132805126765</v>
      </c>
      <c r="H107" s="134"/>
      <c r="I107" s="11"/>
      <c r="J107" s="1"/>
      <c r="K107" s="1"/>
    </row>
    <row r="108" spans="1:11" s="2" customFormat="1" ht="24.75" customHeight="1" hidden="1">
      <c r="A108" s="145">
        <v>788000</v>
      </c>
      <c r="B108" s="146"/>
      <c r="C108" s="147" t="s">
        <v>479</v>
      </c>
      <c r="D108" s="76">
        <f>SUM(D109)</f>
        <v>0</v>
      </c>
      <c r="E108" s="76">
        <f>SUM(E109)</f>
        <v>0</v>
      </c>
      <c r="F108" s="77" t="e">
        <f t="shared" si="5"/>
        <v>#DIV/0!</v>
      </c>
      <c r="G108" s="79">
        <f t="shared" si="6"/>
        <v>0</v>
      </c>
      <c r="H108" s="134"/>
      <c r="I108" s="12"/>
      <c r="J108" s="1"/>
      <c r="K108" s="1"/>
    </row>
    <row r="109" spans="1:11" s="2" customFormat="1" ht="28.5" customHeight="1" hidden="1">
      <c r="A109" s="91">
        <v>788111</v>
      </c>
      <c r="B109" s="92"/>
      <c r="C109" s="90" t="s">
        <v>462</v>
      </c>
      <c r="D109" s="83">
        <v>0</v>
      </c>
      <c r="E109" s="83">
        <v>0</v>
      </c>
      <c r="F109" s="141" t="e">
        <f t="shared" si="5"/>
        <v>#DIV/0!</v>
      </c>
      <c r="G109" s="85">
        <f t="shared" si="6"/>
        <v>0</v>
      </c>
      <c r="H109" s="134"/>
      <c r="I109" s="11"/>
      <c r="J109" s="1"/>
      <c r="K109" s="1"/>
    </row>
    <row r="110" spans="1:11" ht="27" customHeight="1">
      <c r="A110" s="66">
        <v>810000</v>
      </c>
      <c r="B110" s="18"/>
      <c r="C110" s="114" t="s">
        <v>265</v>
      </c>
      <c r="D110" s="63">
        <f>D111+D113+D115</f>
        <v>2205500</v>
      </c>
      <c r="E110" s="63">
        <f>E111+E113+E115</f>
        <v>595000</v>
      </c>
      <c r="F110" s="63">
        <f t="shared" si="5"/>
        <v>26.97800952165042</v>
      </c>
      <c r="G110" s="65">
        <f t="shared" si="6"/>
        <v>2.739246730168084</v>
      </c>
      <c r="H110" s="134"/>
      <c r="I110" s="11"/>
      <c r="J110" s="1"/>
      <c r="K110" s="1"/>
    </row>
    <row r="111" spans="1:11" ht="0.75" customHeight="1" hidden="1">
      <c r="A111" s="66">
        <v>811000</v>
      </c>
      <c r="B111" s="67"/>
      <c r="C111" s="101" t="s">
        <v>171</v>
      </c>
      <c r="D111" s="76">
        <f>SUM(D112:D112)</f>
        <v>0</v>
      </c>
      <c r="E111" s="76">
        <f>SUM(E112:E112)</f>
        <v>0</v>
      </c>
      <c r="F111" s="63" t="e">
        <f t="shared" si="5"/>
        <v>#DIV/0!</v>
      </c>
      <c r="G111" s="79">
        <f t="shared" si="6"/>
        <v>0</v>
      </c>
      <c r="H111" s="134"/>
      <c r="I111" s="11"/>
      <c r="J111" s="1"/>
      <c r="K111" s="1"/>
    </row>
    <row r="112" spans="1:11" ht="18.75" customHeight="1" hidden="1">
      <c r="A112" s="80">
        <v>811110</v>
      </c>
      <c r="B112" s="115" t="s">
        <v>23</v>
      </c>
      <c r="C112" s="90" t="s">
        <v>519</v>
      </c>
      <c r="D112" s="83">
        <v>0</v>
      </c>
      <c r="E112" s="83">
        <v>0</v>
      </c>
      <c r="F112" s="63" t="e">
        <f t="shared" si="5"/>
        <v>#DIV/0!</v>
      </c>
      <c r="G112" s="85">
        <f t="shared" si="6"/>
        <v>0</v>
      </c>
      <c r="H112" s="134"/>
      <c r="I112" s="11"/>
      <c r="J112" s="1"/>
      <c r="K112" s="1"/>
    </row>
    <row r="113" spans="1:11" ht="13.5" customHeight="1">
      <c r="A113" s="66">
        <v>813000</v>
      </c>
      <c r="B113" s="67"/>
      <c r="C113" s="101" t="s">
        <v>158</v>
      </c>
      <c r="D113" s="76">
        <f>SUM(D114:D114)</f>
        <v>2200000</v>
      </c>
      <c r="E113" s="76">
        <f>SUM(E114:E114)</f>
        <v>557000</v>
      </c>
      <c r="F113" s="77">
        <f t="shared" si="5"/>
        <v>25.318181818181817</v>
      </c>
      <c r="G113" s="79">
        <f t="shared" si="6"/>
        <v>2.5643032415186937</v>
      </c>
      <c r="H113" s="134"/>
      <c r="I113" s="11"/>
      <c r="J113" s="1"/>
      <c r="K113" s="1"/>
    </row>
    <row r="114" spans="1:10" ht="14.25" customHeight="1">
      <c r="A114" s="80">
        <v>813110</v>
      </c>
      <c r="B114" s="115" t="s">
        <v>23</v>
      </c>
      <c r="C114" s="90" t="s">
        <v>159</v>
      </c>
      <c r="D114" s="83">
        <f>1900000+300000</f>
        <v>2200000</v>
      </c>
      <c r="E114" s="83">
        <v>557000</v>
      </c>
      <c r="F114" s="141">
        <f t="shared" si="5"/>
        <v>25.318181818181817</v>
      </c>
      <c r="G114" s="85">
        <f t="shared" si="6"/>
        <v>2.5643032415186937</v>
      </c>
      <c r="H114" s="134"/>
      <c r="I114" s="11"/>
      <c r="J114" s="1"/>
    </row>
    <row r="115" spans="1:11" ht="24" customHeight="1">
      <c r="A115" s="66">
        <v>816000</v>
      </c>
      <c r="B115" s="67"/>
      <c r="C115" s="101" t="s">
        <v>253</v>
      </c>
      <c r="D115" s="76">
        <f>SUM(D116)</f>
        <v>5500</v>
      </c>
      <c r="E115" s="76">
        <f>SUM(E116)</f>
        <v>38000</v>
      </c>
      <c r="F115" s="77">
        <f t="shared" si="5"/>
        <v>690.9090909090909</v>
      </c>
      <c r="G115" s="79">
        <f t="shared" si="6"/>
        <v>0.17494348864939024</v>
      </c>
      <c r="H115" s="134"/>
      <c r="I115" s="11"/>
      <c r="J115" s="1"/>
      <c r="K115" s="1"/>
    </row>
    <row r="116" spans="1:11" ht="15" customHeight="1">
      <c r="A116" s="91">
        <v>816150</v>
      </c>
      <c r="B116" s="115" t="s">
        <v>31</v>
      </c>
      <c r="C116" s="90" t="s">
        <v>164</v>
      </c>
      <c r="D116" s="83">
        <v>5500</v>
      </c>
      <c r="E116" s="83">
        <v>38000</v>
      </c>
      <c r="F116" s="141">
        <f t="shared" si="5"/>
        <v>690.9090909090909</v>
      </c>
      <c r="G116" s="85">
        <f t="shared" si="6"/>
        <v>0.17494348864939024</v>
      </c>
      <c r="H116" s="134"/>
      <c r="I116" s="11"/>
      <c r="J116" s="1"/>
      <c r="K116" s="1"/>
    </row>
    <row r="117" spans="1:11" ht="29.25" customHeight="1" thickBot="1">
      <c r="A117" s="446">
        <v>787400</v>
      </c>
      <c r="B117" s="116"/>
      <c r="C117" s="117" t="s">
        <v>266</v>
      </c>
      <c r="D117" s="118">
        <f>D5+D110</f>
        <v>16535000</v>
      </c>
      <c r="E117" s="118">
        <f>E5+E110</f>
        <v>21721300</v>
      </c>
      <c r="F117" s="119">
        <f t="shared" si="5"/>
        <v>131.3655881463562</v>
      </c>
      <c r="G117" s="120">
        <f t="shared" si="6"/>
        <v>100</v>
      </c>
      <c r="H117" s="134"/>
      <c r="I117" s="11"/>
      <c r="J117" s="1"/>
      <c r="K117" s="1"/>
    </row>
    <row r="118" spans="1:11" ht="6.75" customHeight="1" thickTop="1">
      <c r="A118" s="27"/>
      <c r="B118" s="27"/>
      <c r="C118" s="34"/>
      <c r="D118" s="33"/>
      <c r="E118" s="33"/>
      <c r="F118" s="33"/>
      <c r="G118"/>
      <c r="I118" s="11"/>
      <c r="J118" s="1"/>
      <c r="K118" s="1"/>
    </row>
    <row r="119" spans="1:11" ht="15.75" hidden="1">
      <c r="A119" s="27"/>
      <c r="B119" s="27"/>
      <c r="C119" s="57" t="s">
        <v>631</v>
      </c>
      <c r="D119" s="33">
        <f>D10+D11+D13+D15+D19+D21+D25+D26+D27+D28+D30+D34+D36+D37+D38+D39+D40+D41+D42+D43+D45+D46+D47+D48+D49+D50+D51+D52+D53+D55+D70+D71+D72+D73+D74+D75+D76+D78+D80+D81+D83+D87+D88+D89+D91+D96+D99+D100+D101+D103+D104+D105+D106+D107+D109+D114+D116</f>
        <v>16535000</v>
      </c>
      <c r="E119" s="33">
        <f>E10+E11+E13+E15+E19+E21+E25+E26+E27+E28+E30+E34+E36+E37+E38+E39+E40+E41+E42+E43+E45+E46+E47+E48+E49+E50+E51+E52+E53+E55+E58+E59+E60+E61+E62+E63+E64+E65+E66+E67+E68+E70+E71+E72+E73+E74+E75+E76+E78+E80+E81+E83+E87+E88+E89+E91+E96+E99+E100+E101+E103+E104+E105+E106+E107+E109+E114+E116</f>
        <v>21721300</v>
      </c>
      <c r="F119" s="33"/>
      <c r="G119" s="31"/>
      <c r="H119" s="1"/>
      <c r="I119" s="11"/>
      <c r="J119" s="1"/>
      <c r="K119" s="1"/>
    </row>
    <row r="120" spans="1:11" ht="14.25" customHeight="1">
      <c r="A120" s="27"/>
      <c r="B120" s="27"/>
      <c r="C120" s="136"/>
      <c r="D120" s="33"/>
      <c r="E120" s="33"/>
      <c r="F120" s="33"/>
      <c r="G120" s="31"/>
      <c r="I120" s="18"/>
      <c r="J120" s="1"/>
      <c r="K120" s="1"/>
    </row>
    <row r="121" spans="1:11" ht="15.75" hidden="1">
      <c r="A121" s="27"/>
      <c r="B121" s="27"/>
      <c r="C121" s="49"/>
      <c r="D121" s="33"/>
      <c r="E121" s="33"/>
      <c r="F121" s="33"/>
      <c r="G121" s="31"/>
      <c r="I121" s="18"/>
      <c r="J121" s="1"/>
      <c r="K121" s="1"/>
    </row>
    <row r="122" spans="1:11" ht="12.75" customHeight="1">
      <c r="A122" s="27"/>
      <c r="B122" s="27"/>
      <c r="C122" s="372"/>
      <c r="D122" s="373"/>
      <c r="E122" s="373"/>
      <c r="F122" s="33"/>
      <c r="G122"/>
      <c r="I122" s="18"/>
      <c r="J122" s="1"/>
      <c r="K122" s="1"/>
    </row>
    <row r="123" spans="1:11" ht="13.5" customHeight="1">
      <c r="A123" s="27"/>
      <c r="B123" s="27"/>
      <c r="C123" s="49"/>
      <c r="D123" s="56"/>
      <c r="E123" s="56"/>
      <c r="F123" s="33"/>
      <c r="G123" s="1"/>
      <c r="I123" s="18"/>
      <c r="J123" s="1"/>
      <c r="K123" s="1"/>
    </row>
    <row r="124" spans="1:11" ht="15.75">
      <c r="A124" s="27"/>
      <c r="B124" s="27"/>
      <c r="C124" s="136"/>
      <c r="D124" s="33"/>
      <c r="E124" s="33"/>
      <c r="F124" s="33"/>
      <c r="G124"/>
      <c r="I124" s="18"/>
      <c r="J124" s="1"/>
      <c r="K124" s="1"/>
    </row>
    <row r="125" spans="1:11" ht="15">
      <c r="A125" s="27"/>
      <c r="B125" s="27"/>
      <c r="C125" s="371"/>
      <c r="D125" s="33"/>
      <c r="E125" s="33"/>
      <c r="F125" s="33"/>
      <c r="G125"/>
      <c r="I125" s="18"/>
      <c r="J125" s="1"/>
      <c r="K125" s="1"/>
    </row>
    <row r="126" spans="1:11" ht="15">
      <c r="A126" s="27"/>
      <c r="B126" s="27"/>
      <c r="C126" s="371"/>
      <c r="D126" s="33"/>
      <c r="E126" s="33"/>
      <c r="F126" s="33"/>
      <c r="G126"/>
      <c r="I126" s="18"/>
      <c r="J126" s="1"/>
      <c r="K126" s="1"/>
    </row>
    <row r="127" spans="1:11" ht="15.75">
      <c r="A127" s="27"/>
      <c r="B127" s="27"/>
      <c r="C127" s="59"/>
      <c r="D127" s="374"/>
      <c r="E127" s="374"/>
      <c r="F127" s="33"/>
      <c r="G127" s="59"/>
      <c r="I127" s="18"/>
      <c r="J127" s="1"/>
      <c r="K127" s="1"/>
    </row>
    <row r="128" spans="1:11" ht="15.75">
      <c r="A128" s="27"/>
      <c r="B128" s="27"/>
      <c r="C128" s="59"/>
      <c r="D128" s="59"/>
      <c r="E128" s="59"/>
      <c r="F128" s="33"/>
      <c r="G128" s="59"/>
      <c r="I128" s="18"/>
      <c r="J128" s="1"/>
      <c r="K128" s="1"/>
    </row>
    <row r="129" spans="1:11" ht="12.75">
      <c r="A129" s="27"/>
      <c r="B129" s="27"/>
      <c r="C129" s="413"/>
      <c r="D129" s="415"/>
      <c r="E129" s="406"/>
      <c r="F129" s="373"/>
      <c r="G129"/>
      <c r="I129" s="18"/>
      <c r="J129" s="1"/>
      <c r="K129" s="1"/>
    </row>
    <row r="130" spans="1:11" ht="12.75">
      <c r="A130" s="27"/>
      <c r="B130" s="27"/>
      <c r="C130" s="413"/>
      <c r="D130" s="406"/>
      <c r="E130" s="406"/>
      <c r="F130" s="373"/>
      <c r="G130"/>
      <c r="I130" s="18"/>
      <c r="J130" s="1"/>
      <c r="K130" s="1"/>
    </row>
    <row r="131" spans="1:11" ht="12.75">
      <c r="A131" s="27"/>
      <c r="B131" s="27"/>
      <c r="C131" s="27"/>
      <c r="G131"/>
      <c r="I131" s="18"/>
      <c r="K131" s="1"/>
    </row>
    <row r="132" spans="1:11" ht="12.75">
      <c r="A132" s="27"/>
      <c r="B132" s="27"/>
      <c r="C132" s="27"/>
      <c r="G132"/>
      <c r="I132" s="18"/>
      <c r="K132" s="1"/>
    </row>
    <row r="133" spans="1:11" ht="12.75">
      <c r="A133" s="27"/>
      <c r="B133" s="27"/>
      <c r="C133" s="27"/>
      <c r="E133" s="27"/>
      <c r="G133"/>
      <c r="I133" s="18"/>
      <c r="K133" s="1"/>
    </row>
    <row r="134" spans="1:11" ht="12.75">
      <c r="A134" s="27"/>
      <c r="B134" s="27"/>
      <c r="C134" s="27"/>
      <c r="E134" s="27"/>
      <c r="G134"/>
      <c r="I134" s="18"/>
      <c r="K134" s="1"/>
    </row>
    <row r="135" spans="1:11" ht="12.75">
      <c r="A135" s="27"/>
      <c r="B135" s="27"/>
      <c r="C135" s="27"/>
      <c r="G135"/>
      <c r="I135" s="18"/>
      <c r="K135" s="1"/>
    </row>
    <row r="136" spans="1:11" ht="12.75">
      <c r="A136" s="27"/>
      <c r="B136" s="27"/>
      <c r="C136" s="27"/>
      <c r="D136" s="27"/>
      <c r="E136" s="27"/>
      <c r="G136"/>
      <c r="I136" s="18"/>
      <c r="K136" s="1"/>
    </row>
    <row r="137" spans="1:11" ht="12.75">
      <c r="A137" s="27"/>
      <c r="B137" s="27"/>
      <c r="C137" s="27"/>
      <c r="D137" s="27"/>
      <c r="E137" s="27"/>
      <c r="G137"/>
      <c r="I137" s="18"/>
      <c r="K137" s="1"/>
    </row>
    <row r="138" spans="1:9" ht="12.75">
      <c r="A138" s="27"/>
      <c r="B138" s="27"/>
      <c r="C138" s="27"/>
      <c r="G138"/>
      <c r="I138" s="18"/>
    </row>
    <row r="139" spans="1:9" ht="12.75">
      <c r="A139" s="27"/>
      <c r="B139" s="27"/>
      <c r="C139" s="27"/>
      <c r="G139"/>
      <c r="I139" s="18"/>
    </row>
    <row r="140" spans="1:9" ht="12.75">
      <c r="A140" s="27"/>
      <c r="B140" s="27"/>
      <c r="C140" s="27"/>
      <c r="G140"/>
      <c r="I140" s="18"/>
    </row>
    <row r="141" spans="1:9" ht="12.75">
      <c r="A141" s="27"/>
      <c r="B141" s="27"/>
      <c r="C141" s="27"/>
      <c r="G141"/>
      <c r="I141" s="18"/>
    </row>
    <row r="142" spans="1:9" ht="12.75">
      <c r="A142" s="27"/>
      <c r="B142" s="27"/>
      <c r="C142" s="27"/>
      <c r="G142"/>
      <c r="I142" s="18"/>
    </row>
    <row r="143" spans="1:9" ht="12.75">
      <c r="A143" s="27"/>
      <c r="B143" s="27"/>
      <c r="C143" s="27"/>
      <c r="G143"/>
      <c r="I143" s="18"/>
    </row>
    <row r="144" spans="1:9" ht="12.75">
      <c r="A144" s="27"/>
      <c r="B144" s="27"/>
      <c r="C144" s="27"/>
      <c r="G144"/>
      <c r="I144" s="18"/>
    </row>
    <row r="145" spans="1:9" ht="12.75">
      <c r="A145" s="27"/>
      <c r="B145" s="27"/>
      <c r="C145" s="27"/>
      <c r="G145"/>
      <c r="I145" s="18"/>
    </row>
    <row r="146" spans="1:9" ht="12.75">
      <c r="A146" s="27"/>
      <c r="B146" s="27"/>
      <c r="C146" s="27"/>
      <c r="G146"/>
      <c r="I146" s="18"/>
    </row>
    <row r="147" spans="1:9" ht="12.75">
      <c r="A147" s="27"/>
      <c r="B147" s="27"/>
      <c r="C147" s="27"/>
      <c r="G147"/>
      <c r="I147" s="18"/>
    </row>
    <row r="148" spans="1:9" ht="12.75">
      <c r="A148" s="27"/>
      <c r="B148" s="27"/>
      <c r="C148" s="27"/>
      <c r="G148"/>
      <c r="I148" s="18"/>
    </row>
    <row r="149" spans="1:9" ht="12.75">
      <c r="A149" s="27"/>
      <c r="B149" s="27"/>
      <c r="C149" s="27"/>
      <c r="G149"/>
      <c r="I149" s="18"/>
    </row>
    <row r="150" spans="1:9" ht="12.75">
      <c r="A150" s="27"/>
      <c r="B150" s="27"/>
      <c r="C150" s="27"/>
      <c r="G150"/>
      <c r="I150" s="18"/>
    </row>
    <row r="151" spans="1:7" ht="12.75">
      <c r="A151" s="27"/>
      <c r="B151" s="27"/>
      <c r="C151" s="27"/>
      <c r="G151"/>
    </row>
    <row r="152" spans="1:7" ht="12.75">
      <c r="A152" s="27"/>
      <c r="B152" s="27"/>
      <c r="C152" s="27"/>
      <c r="G152"/>
    </row>
    <row r="153" spans="1:7" ht="12.75">
      <c r="A153" s="27"/>
      <c r="B153" s="27"/>
      <c r="C153" s="27"/>
      <c r="G153"/>
    </row>
    <row r="154" spans="1:7" ht="12.75">
      <c r="A154" s="27"/>
      <c r="B154" s="27"/>
      <c r="C154" s="27"/>
      <c r="G154"/>
    </row>
    <row r="155" spans="1:7" ht="12.75">
      <c r="A155" s="27"/>
      <c r="B155" s="27"/>
      <c r="C155" s="27"/>
      <c r="G155"/>
    </row>
    <row r="156" spans="1:9" ht="12.75">
      <c r="A156" s="27"/>
      <c r="B156" s="27"/>
      <c r="C156" s="27"/>
      <c r="G156"/>
      <c r="I156" s="25"/>
    </row>
    <row r="157" spans="1:9" ht="12.75">
      <c r="A157" s="27"/>
      <c r="B157" s="27"/>
      <c r="C157" s="27"/>
      <c r="G157"/>
      <c r="I157" s="25"/>
    </row>
    <row r="158" spans="1:9" ht="12.75">
      <c r="A158" s="27"/>
      <c r="B158" s="27"/>
      <c r="C158" s="27"/>
      <c r="G158"/>
      <c r="I158" s="25"/>
    </row>
    <row r="159" spans="1:9" ht="12.75">
      <c r="A159" s="27"/>
      <c r="B159" s="27"/>
      <c r="C159" s="3"/>
      <c r="D159" s="27"/>
      <c r="E159" s="27"/>
      <c r="F159" s="27"/>
      <c r="I159" s="25"/>
    </row>
    <row r="160" spans="1:9" ht="12.75">
      <c r="A160" s="4"/>
      <c r="B160" s="4"/>
      <c r="C160" s="3"/>
      <c r="D160" s="27"/>
      <c r="E160" s="27"/>
      <c r="F160" s="27"/>
      <c r="I160" s="25"/>
    </row>
    <row r="161" spans="1:9" ht="12.75">
      <c r="A161" s="4"/>
      <c r="B161" s="4"/>
      <c r="C161" s="3"/>
      <c r="D161" s="27"/>
      <c r="E161" s="27"/>
      <c r="F161" s="27"/>
      <c r="I161" s="25"/>
    </row>
    <row r="162" spans="1:9" ht="12.75">
      <c r="A162" s="4"/>
      <c r="B162" s="4"/>
      <c r="C162" s="3"/>
      <c r="D162" s="27"/>
      <c r="E162" s="27"/>
      <c r="F162" s="27"/>
      <c r="I162" s="25"/>
    </row>
    <row r="163" spans="1:9" ht="12.75">
      <c r="A163" s="4"/>
      <c r="B163" s="4"/>
      <c r="C163" s="3"/>
      <c r="D163" s="27"/>
      <c r="E163" s="27"/>
      <c r="F163" s="27"/>
      <c r="I163" s="25"/>
    </row>
    <row r="164" spans="1:9" ht="12.75">
      <c r="A164" s="4"/>
      <c r="B164" s="4"/>
      <c r="C164" s="3"/>
      <c r="D164" s="27"/>
      <c r="E164" s="27"/>
      <c r="F164" s="27"/>
      <c r="I164" s="25"/>
    </row>
    <row r="165" spans="1:9" ht="12.75">
      <c r="A165" s="4"/>
      <c r="B165" s="4"/>
      <c r="C165" s="3"/>
      <c r="D165" s="27"/>
      <c r="E165" s="27"/>
      <c r="F165" s="27"/>
      <c r="I165" s="25"/>
    </row>
    <row r="166" spans="1:9" ht="12.75">
      <c r="A166" s="4"/>
      <c r="B166" s="4"/>
      <c r="C166" s="3"/>
      <c r="D166" s="27"/>
      <c r="E166" s="27"/>
      <c r="F166" s="27"/>
      <c r="I166" s="25"/>
    </row>
    <row r="167" spans="1:9" ht="12.75">
      <c r="A167" s="4"/>
      <c r="B167" s="4"/>
      <c r="C167" s="3"/>
      <c r="D167" s="27"/>
      <c r="E167" s="27"/>
      <c r="F167" s="27"/>
      <c r="I167" s="25"/>
    </row>
    <row r="168" spans="1:9" ht="12.75">
      <c r="A168" s="4"/>
      <c r="B168" s="4"/>
      <c r="C168" s="3"/>
      <c r="D168" s="27"/>
      <c r="E168" s="27"/>
      <c r="F168" s="27"/>
      <c r="I168" s="25"/>
    </row>
    <row r="169" spans="1:9" ht="12.75">
      <c r="A169" s="4"/>
      <c r="B169" s="4"/>
      <c r="C169" s="3"/>
      <c r="D169" s="27"/>
      <c r="E169" s="27"/>
      <c r="F169" s="27"/>
      <c r="I169" s="25"/>
    </row>
    <row r="170" spans="1:9" ht="12.75">
      <c r="A170" s="4"/>
      <c r="B170" s="4"/>
      <c r="C170" s="3"/>
      <c r="D170" s="27"/>
      <c r="E170" s="27"/>
      <c r="F170" s="27"/>
      <c r="I170" s="25"/>
    </row>
    <row r="171" spans="1:9" s="25" customFormat="1" ht="12.75">
      <c r="A171" s="4"/>
      <c r="B171" s="4"/>
      <c r="C171" s="3"/>
      <c r="D171" s="27"/>
      <c r="E171" s="27"/>
      <c r="F171" s="27"/>
      <c r="I171"/>
    </row>
    <row r="172" spans="1:9" s="25" customFormat="1" ht="12.75">
      <c r="A172" s="4"/>
      <c r="B172" s="4"/>
      <c r="C172" s="3"/>
      <c r="D172" s="27"/>
      <c r="E172" s="27"/>
      <c r="F172" s="27"/>
      <c r="I172"/>
    </row>
    <row r="173" spans="1:9" s="25" customFormat="1" ht="12.75">
      <c r="A173" s="4"/>
      <c r="B173" s="4"/>
      <c r="C173" s="3"/>
      <c r="D173" s="27"/>
      <c r="E173" s="27"/>
      <c r="F173" s="27"/>
      <c r="I173"/>
    </row>
    <row r="174" spans="1:9" s="25" customFormat="1" ht="12.75">
      <c r="A174" s="4"/>
      <c r="B174" s="4"/>
      <c r="C174" s="3"/>
      <c r="D174" s="27"/>
      <c r="E174" s="27"/>
      <c r="F174" s="27"/>
      <c r="I174"/>
    </row>
    <row r="175" spans="1:9" s="25" customFormat="1" ht="12.75">
      <c r="A175" s="4"/>
      <c r="B175" s="4"/>
      <c r="C175" s="3"/>
      <c r="D175" s="27"/>
      <c r="E175" s="27"/>
      <c r="F175" s="27"/>
      <c r="I175"/>
    </row>
    <row r="176" spans="1:9" s="25" customFormat="1" ht="12.75">
      <c r="A176" s="4"/>
      <c r="B176" s="4"/>
      <c r="C176" s="3"/>
      <c r="D176" s="27"/>
      <c r="E176" s="27"/>
      <c r="F176" s="27"/>
      <c r="I176"/>
    </row>
    <row r="177" spans="1:9" s="25" customFormat="1" ht="12.75">
      <c r="A177" s="4"/>
      <c r="B177" s="4"/>
      <c r="C177" s="3"/>
      <c r="D177" s="27"/>
      <c r="E177" s="27"/>
      <c r="F177" s="27"/>
      <c r="I177"/>
    </row>
    <row r="178" spans="1:9" s="25" customFormat="1" ht="12.75">
      <c r="A178" s="4"/>
      <c r="B178" s="4"/>
      <c r="C178" s="3"/>
      <c r="D178" s="27"/>
      <c r="E178" s="27"/>
      <c r="F178" s="27"/>
      <c r="I178"/>
    </row>
    <row r="179" spans="1:9" s="25" customFormat="1" ht="12.75">
      <c r="A179" s="4"/>
      <c r="B179" s="4"/>
      <c r="C179" s="3"/>
      <c r="D179" s="27"/>
      <c r="E179" s="27"/>
      <c r="F179" s="27"/>
      <c r="I179"/>
    </row>
    <row r="180" spans="1:9" s="25" customFormat="1" ht="12.75">
      <c r="A180" s="4"/>
      <c r="B180" s="4"/>
      <c r="C180" s="3"/>
      <c r="D180" s="27"/>
      <c r="E180" s="27"/>
      <c r="F180" s="27"/>
      <c r="I180"/>
    </row>
    <row r="181" spans="1:9" s="25" customFormat="1" ht="12.75">
      <c r="A181" s="4"/>
      <c r="B181" s="4"/>
      <c r="C181" s="3"/>
      <c r="D181" s="27"/>
      <c r="E181" s="27"/>
      <c r="F181" s="27"/>
      <c r="I181"/>
    </row>
    <row r="182" spans="1:9" s="25" customFormat="1" ht="12.75">
      <c r="A182" s="4"/>
      <c r="B182" s="4"/>
      <c r="C182" s="3"/>
      <c r="D182" s="27"/>
      <c r="E182" s="27"/>
      <c r="F182" s="27"/>
      <c r="I182"/>
    </row>
    <row r="183" spans="1:9" s="25" customFormat="1" ht="12.75">
      <c r="A183" s="4"/>
      <c r="B183" s="4"/>
      <c r="C183" s="3"/>
      <c r="D183" s="27"/>
      <c r="E183" s="27"/>
      <c r="F183" s="27"/>
      <c r="I183"/>
    </row>
    <row r="184" spans="1:9" s="25" customFormat="1" ht="12.75">
      <c r="A184" s="4"/>
      <c r="B184" s="4"/>
      <c r="C184" s="3"/>
      <c r="D184" s="27"/>
      <c r="E184" s="27"/>
      <c r="F184" s="27"/>
      <c r="I184"/>
    </row>
    <row r="185" spans="1:9" s="25" customFormat="1" ht="12.75">
      <c r="A185" s="4"/>
      <c r="B185" s="4"/>
      <c r="C185"/>
      <c r="D185" s="27"/>
      <c r="E185" s="27"/>
      <c r="F185" s="27"/>
      <c r="I185"/>
    </row>
  </sheetData>
  <sheetProtection/>
  <mergeCells count="10">
    <mergeCell ref="H2:H3"/>
    <mergeCell ref="E2:E3"/>
    <mergeCell ref="I2:I3"/>
    <mergeCell ref="A1:G1"/>
    <mergeCell ref="A2:A3"/>
    <mergeCell ref="C2:C3"/>
    <mergeCell ref="B2:B3"/>
    <mergeCell ref="F2:F3"/>
    <mergeCell ref="G2:G3"/>
    <mergeCell ref="D2:D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scale="101" r:id="rId1"/>
  <headerFooter alignWithMargins="0">
    <oddFooter>&amp;R&amp;P</oddFooter>
  </headerFooter>
  <rowBreaks count="4" manualBreakCount="4">
    <brk id="37" max="6" man="1"/>
    <brk id="59" max="6" man="1"/>
    <brk id="85" max="6" man="1"/>
    <brk id="117" max="6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70" workbookViewId="0" topLeftCell="A1">
      <selection activeCell="F63" sqref="F63:G63"/>
    </sheetView>
  </sheetViews>
  <sheetFormatPr defaultColWidth="9.140625" defaultRowHeight="12.75" customHeight="1"/>
  <cols>
    <col min="1" max="1" width="8.8515625" style="0" customWidth="1"/>
    <col min="2" max="2" width="61.00390625" style="0" customWidth="1"/>
    <col min="3" max="3" width="15.7109375" style="0" customWidth="1"/>
    <col min="4" max="4" width="16.421875" style="0" customWidth="1"/>
    <col min="5" max="5" width="11.140625" style="0" customWidth="1"/>
    <col min="6" max="6" width="10.57421875" style="0" customWidth="1"/>
    <col min="7" max="7" width="6.8515625" style="0" customWidth="1"/>
    <col min="8" max="8" width="11.7109375" style="0" bestFit="1" customWidth="1"/>
    <col min="11" max="11" width="11.28125" style="0" customWidth="1"/>
    <col min="12" max="12" width="10.140625" style="0" customWidth="1"/>
  </cols>
  <sheetData>
    <row r="1" spans="1:7" ht="39" customHeight="1" thickBot="1">
      <c r="A1" s="511" t="s">
        <v>541</v>
      </c>
      <c r="B1" s="512"/>
      <c r="C1" s="512"/>
      <c r="D1" s="512"/>
      <c r="E1" s="512"/>
      <c r="F1" s="513"/>
      <c r="G1" s="23"/>
    </row>
    <row r="2" spans="1:6" ht="54" customHeight="1" thickTop="1">
      <c r="A2" s="286" t="s">
        <v>57</v>
      </c>
      <c r="B2" s="307" t="s">
        <v>205</v>
      </c>
      <c r="C2" s="308" t="s">
        <v>531</v>
      </c>
      <c r="D2" s="308" t="s">
        <v>545</v>
      </c>
      <c r="E2" s="308" t="s">
        <v>110</v>
      </c>
      <c r="F2" s="309" t="s">
        <v>196</v>
      </c>
    </row>
    <row r="3" spans="1:6" ht="15.75" customHeight="1">
      <c r="A3" s="125">
        <v>1</v>
      </c>
      <c r="B3" s="126">
        <v>2</v>
      </c>
      <c r="C3" s="127">
        <v>3</v>
      </c>
      <c r="D3" s="127">
        <v>4</v>
      </c>
      <c r="E3" s="127" t="s">
        <v>546</v>
      </c>
      <c r="F3" s="124">
        <v>6</v>
      </c>
    </row>
    <row r="4" spans="1:7" ht="21" customHeight="1">
      <c r="A4" s="288"/>
      <c r="B4" s="310" t="s">
        <v>334</v>
      </c>
      <c r="C4" s="63">
        <f>C5+C38+C43</f>
        <v>13303000</v>
      </c>
      <c r="D4" s="63">
        <f>D5+D38+D43</f>
        <v>18154310</v>
      </c>
      <c r="E4" s="63">
        <f aca="true" t="shared" si="0" ref="E4:E36">D4/C4*100</f>
        <v>136.4677892204766</v>
      </c>
      <c r="F4" s="311">
        <f>D4/$D$56*100</f>
        <v>87.24254541662482</v>
      </c>
      <c r="G4" s="1"/>
    </row>
    <row r="5" spans="1:7" ht="15.75" customHeight="1">
      <c r="A5" s="312">
        <v>410000</v>
      </c>
      <c r="B5" s="291" t="s">
        <v>340</v>
      </c>
      <c r="C5" s="70">
        <f>C6+C11+C21+C25+C27+C29+C32+C36</f>
        <v>12881800</v>
      </c>
      <c r="D5" s="70">
        <f>D6+D11+D21+D25+D27+D29+D32+D36</f>
        <v>17712810</v>
      </c>
      <c r="E5" s="70">
        <f t="shared" si="0"/>
        <v>137.50260056824357</v>
      </c>
      <c r="F5" s="188">
        <f aca="true" t="shared" si="1" ref="F5:F56">D5/$D$56*100</f>
        <v>85.1208683161765</v>
      </c>
      <c r="G5" s="1"/>
    </row>
    <row r="6" spans="1:12" ht="15.75" customHeight="1">
      <c r="A6" s="313">
        <v>411000</v>
      </c>
      <c r="B6" s="314" t="s">
        <v>329</v>
      </c>
      <c r="C6" s="76">
        <f>SUM(C7:C10)</f>
        <v>4836400</v>
      </c>
      <c r="D6" s="76">
        <f>SUM(D7:D10)</f>
        <v>8627840</v>
      </c>
      <c r="E6" s="77">
        <f t="shared" si="0"/>
        <v>178.39384666280705</v>
      </c>
      <c r="F6" s="79">
        <f t="shared" si="1"/>
        <v>41.46203976066137</v>
      </c>
      <c r="G6" s="1"/>
      <c r="H6" s="461"/>
      <c r="I6" s="2"/>
      <c r="J6" s="2"/>
      <c r="K6" s="2"/>
      <c r="L6" s="2"/>
    </row>
    <row r="7" spans="1:12" ht="13.5" customHeight="1">
      <c r="A7" s="295">
        <v>411100</v>
      </c>
      <c r="B7" s="315" t="s">
        <v>325</v>
      </c>
      <c r="C7" s="109">
        <f>SUMIF(Org!$C$10:Org!$D$585,411100,Org!E$10:Org!E$586)</f>
        <v>3587000</v>
      </c>
      <c r="D7" s="109">
        <f>SUMIF(Org!$C$10:Org!$D$585,411100,Org!F$10:Org!F$586)</f>
        <v>7194700</v>
      </c>
      <c r="E7" s="141">
        <f t="shared" si="0"/>
        <v>200.57708391413436</v>
      </c>
      <c r="F7" s="202">
        <f t="shared" si="1"/>
        <v>34.57492691867609</v>
      </c>
      <c r="G7" s="1"/>
      <c r="H7" s="2"/>
      <c r="I7" s="2"/>
      <c r="J7" s="2"/>
      <c r="K7" s="2"/>
      <c r="L7" s="2"/>
    </row>
    <row r="8" spans="1:12" ht="25.5">
      <c r="A8" s="295">
        <v>411200</v>
      </c>
      <c r="B8" s="316" t="s">
        <v>330</v>
      </c>
      <c r="C8" s="109">
        <f>SUMIF(Org!$C$8:Org!$D$585,411200,Org!E$8:Org!E$587)</f>
        <v>993400</v>
      </c>
      <c r="D8" s="109">
        <f>SUMIF(Org!$C$8:Org!$D$585,411200,Org!F$8:Org!F$587)</f>
        <v>1115640</v>
      </c>
      <c r="E8" s="141">
        <f t="shared" si="0"/>
        <v>112.30521441513991</v>
      </c>
      <c r="F8" s="202">
        <f t="shared" si="1"/>
        <v>5.361331461708174</v>
      </c>
      <c r="G8" s="1"/>
      <c r="H8" s="2"/>
      <c r="I8" s="2"/>
      <c r="J8" s="2"/>
      <c r="K8" s="2"/>
      <c r="L8" s="2"/>
    </row>
    <row r="9" spans="1:12" ht="25.5">
      <c r="A9" s="295">
        <v>411300</v>
      </c>
      <c r="B9" s="316" t="s">
        <v>415</v>
      </c>
      <c r="C9" s="109">
        <f>SUMIF(Org!$C$10:Org!$D$585,411300,Org!E$10:Org!E$587)</f>
        <v>70000</v>
      </c>
      <c r="D9" s="109">
        <f>SUMIF(Org!$C$10:Org!$D$585,411300,Org!F$10:Org!F$587)</f>
        <v>144400</v>
      </c>
      <c r="E9" s="141">
        <f t="shared" si="0"/>
        <v>206.28571428571428</v>
      </c>
      <c r="F9" s="202">
        <f t="shared" si="1"/>
        <v>0.6939301773606721</v>
      </c>
      <c r="G9" s="1"/>
      <c r="H9" s="2"/>
      <c r="I9" s="2"/>
      <c r="J9" s="2"/>
      <c r="K9" s="2"/>
      <c r="L9" s="2"/>
    </row>
    <row r="10" spans="1:12" ht="14.25" customHeight="1">
      <c r="A10" s="295">
        <v>411400</v>
      </c>
      <c r="B10" s="315" t="s">
        <v>326</v>
      </c>
      <c r="C10" s="109">
        <f>SUMIF(Org!$C$10:Org!$D$585,411400,Org!E$10:Org!E$587)</f>
        <v>186000</v>
      </c>
      <c r="D10" s="109">
        <f>SUMIF(Org!$C$10:Org!$D$585,411400,Org!F$10:Org!F$587)</f>
        <v>173100</v>
      </c>
      <c r="E10" s="141">
        <f t="shared" si="0"/>
        <v>93.06451612903226</v>
      </c>
      <c r="F10" s="202">
        <f t="shared" si="1"/>
        <v>0.8318512029164289</v>
      </c>
      <c r="G10" s="1"/>
      <c r="H10" s="2"/>
      <c r="I10" s="2"/>
      <c r="J10" s="2"/>
      <c r="K10" s="2"/>
      <c r="L10" s="2"/>
    </row>
    <row r="11" spans="1:12" ht="15.75" customHeight="1">
      <c r="A11" s="313">
        <v>412000</v>
      </c>
      <c r="B11" s="317" t="s">
        <v>120</v>
      </c>
      <c r="C11" s="76">
        <f>SUM(C12:C20)</f>
        <v>2584400</v>
      </c>
      <c r="D11" s="76">
        <f>SUM(D12:D20)</f>
        <v>3666320</v>
      </c>
      <c r="E11" s="363">
        <f t="shared" si="0"/>
        <v>141.863488624052</v>
      </c>
      <c r="F11" s="79">
        <f t="shared" si="1"/>
        <v>17.61890642563005</v>
      </c>
      <c r="G11" s="1"/>
      <c r="H11" s="2"/>
      <c r="I11" s="2"/>
      <c r="J11" s="2"/>
      <c r="K11" s="2"/>
      <c r="L11" s="2"/>
    </row>
    <row r="12" spans="1:12" ht="15" customHeight="1">
      <c r="A12" s="298">
        <v>412100</v>
      </c>
      <c r="B12" s="103" t="s">
        <v>121</v>
      </c>
      <c r="C12" s="109">
        <f>SUMIF(Org!$C$10:Org!$D$585,412100,Org!E$10:Org!E$586)</f>
        <v>64450</v>
      </c>
      <c r="D12" s="109">
        <f>SUMIF(Org!$C$10:Org!$D$585,412100,Org!F$10:Org!F$586)</f>
        <v>52960</v>
      </c>
      <c r="E12" s="141">
        <f t="shared" si="0"/>
        <v>82.17222653219551</v>
      </c>
      <c r="F12" s="202">
        <f t="shared" si="1"/>
        <v>0.25450513984086703</v>
      </c>
      <c r="H12" s="461"/>
      <c r="I12" s="461"/>
      <c r="J12" s="2"/>
      <c r="K12" s="2"/>
      <c r="L12" s="2"/>
    </row>
    <row r="13" spans="1:12" ht="25.5">
      <c r="A13" s="298">
        <v>412200</v>
      </c>
      <c r="B13" s="103" t="s">
        <v>122</v>
      </c>
      <c r="C13" s="109">
        <f>SUMIF(Org!$C$10:Org!$D$585,412200,Org!E$10:Org!E$586)</f>
        <v>450000</v>
      </c>
      <c r="D13" s="109">
        <f>SUMIF(Org!$C$10:Org!$D$585,412200,Org!F$10:Org!F$586)</f>
        <v>857240</v>
      </c>
      <c r="E13" s="141">
        <f t="shared" si="0"/>
        <v>190.4977777777778</v>
      </c>
      <c r="F13" s="202">
        <f t="shared" si="1"/>
        <v>4.1195616706417075</v>
      </c>
      <c r="H13" s="461"/>
      <c r="I13" s="461"/>
      <c r="J13" s="2"/>
      <c r="K13" s="2"/>
      <c r="L13" s="2"/>
    </row>
    <row r="14" spans="1:12" ht="12.75">
      <c r="A14" s="298">
        <v>412300</v>
      </c>
      <c r="B14" s="151" t="s">
        <v>123</v>
      </c>
      <c r="C14" s="109">
        <f>SUMIF(Org!$C$10:Org!$D$585,412300,Org!E$10:Org!E$586)</f>
        <v>75300</v>
      </c>
      <c r="D14" s="109">
        <f>SUMIF(Org!$C$10:Org!$D$585,412300,Org!F$10:Org!F$586)</f>
        <v>105600</v>
      </c>
      <c r="E14" s="141">
        <f t="shared" si="0"/>
        <v>140.2390438247012</v>
      </c>
      <c r="F14" s="202">
        <f t="shared" si="1"/>
        <v>0.5074724842748406</v>
      </c>
      <c r="H14" s="461"/>
      <c r="I14" s="461"/>
      <c r="J14" s="2"/>
      <c r="K14" s="2"/>
      <c r="L14" s="2"/>
    </row>
    <row r="15" spans="1:12" ht="14.25" customHeight="1">
      <c r="A15" s="298">
        <v>412400</v>
      </c>
      <c r="B15" s="151" t="s">
        <v>124</v>
      </c>
      <c r="C15" s="109">
        <f>SUMIF(Org!$C$10:Org!$D$585,412400,Org!E$10:Org!E$586)</f>
        <v>62700</v>
      </c>
      <c r="D15" s="109">
        <f>SUMIF(Org!$C$10:Org!$D$585,412400,Org!F$10:Org!F$586)</f>
        <v>272860</v>
      </c>
      <c r="E15" s="141">
        <f t="shared" si="0"/>
        <v>435.18341307814995</v>
      </c>
      <c r="F15" s="202">
        <f t="shared" si="1"/>
        <v>1.311258921015464</v>
      </c>
      <c r="H15" s="461"/>
      <c r="I15" s="461"/>
      <c r="J15" s="2"/>
      <c r="K15" s="463"/>
      <c r="L15" s="2"/>
    </row>
    <row r="16" spans="1:12" ht="13.5" customHeight="1">
      <c r="A16" s="298">
        <v>412500</v>
      </c>
      <c r="B16" s="151" t="s">
        <v>125</v>
      </c>
      <c r="C16" s="109">
        <f>SUMIF(Org!$C$10:Org!$D$585,412500,Org!E$10:Org!E$586)</f>
        <v>355300</v>
      </c>
      <c r="D16" s="109">
        <f>SUMIF(Org!$C$10:Org!$D$585,412500,Org!F$10:Org!F$586)</f>
        <v>481850</v>
      </c>
      <c r="E16" s="141">
        <f t="shared" si="0"/>
        <v>135.61778778497043</v>
      </c>
      <c r="F16" s="202">
        <f t="shared" si="1"/>
        <v>2.3155834900362873</v>
      </c>
      <c r="H16" s="461"/>
      <c r="I16" s="461"/>
      <c r="J16" s="2"/>
      <c r="K16" s="2"/>
      <c r="L16" s="2"/>
    </row>
    <row r="17" spans="1:12" ht="12.75" customHeight="1">
      <c r="A17" s="298">
        <v>412600</v>
      </c>
      <c r="B17" s="151" t="s">
        <v>126</v>
      </c>
      <c r="C17" s="109">
        <f>SUMIF(Org!$C$10:Org!$D$585,412600,Org!E$10:Org!E$586)</f>
        <v>8000</v>
      </c>
      <c r="D17" s="109">
        <f>SUMIF(Org!$C$10:Org!$D$585,412600,Org!F$10:Org!F$586)</f>
        <v>8100</v>
      </c>
      <c r="E17" s="141">
        <f t="shared" si="0"/>
        <v>101.25</v>
      </c>
      <c r="F17" s="202">
        <f t="shared" si="1"/>
        <v>0.03892544623699061</v>
      </c>
      <c r="H17" s="461"/>
      <c r="I17" s="461"/>
      <c r="J17" s="2"/>
      <c r="K17" s="2"/>
      <c r="L17" s="2"/>
    </row>
    <row r="18" spans="1:12" ht="12.75" customHeight="1">
      <c r="A18" s="298">
        <v>412700</v>
      </c>
      <c r="B18" s="103" t="s">
        <v>127</v>
      </c>
      <c r="C18" s="109">
        <f>SUMIF(Org!$C$10:Org!$D$585,412700,Org!E$10:Org!E$586)</f>
        <v>324270</v>
      </c>
      <c r="D18" s="109">
        <f>SUMIF(Org!$C$10:Org!$D$585,412700,Org!F$10:Org!F$586)</f>
        <v>418800</v>
      </c>
      <c r="E18" s="141">
        <f t="shared" si="0"/>
        <v>129.1516328985105</v>
      </c>
      <c r="F18" s="202">
        <f t="shared" si="1"/>
        <v>2.0125897387718106</v>
      </c>
      <c r="H18" s="461"/>
      <c r="I18" s="461"/>
      <c r="J18" s="2"/>
      <c r="K18" s="2"/>
      <c r="L18" s="2"/>
    </row>
    <row r="19" spans="1:12" ht="13.5" customHeight="1">
      <c r="A19" s="294">
        <v>412800</v>
      </c>
      <c r="B19" s="108" t="s">
        <v>128</v>
      </c>
      <c r="C19" s="109">
        <f>SUMIF(Org!$C$10:Org!$D$585,412800,Org!E$10:Org!E$586)</f>
        <v>702000</v>
      </c>
      <c r="D19" s="109">
        <f>SUMIF(Org!$C$10:Org!$D$585,412800,Org!F$10:Org!F$586)</f>
        <v>735000</v>
      </c>
      <c r="E19" s="141">
        <f t="shared" si="0"/>
        <v>104.7008547008547</v>
      </c>
      <c r="F19" s="202">
        <f t="shared" si="1"/>
        <v>3.5321238252084073</v>
      </c>
      <c r="H19" s="461"/>
      <c r="I19" s="461"/>
      <c r="J19" s="2"/>
      <c r="K19" s="2"/>
      <c r="L19" s="2"/>
    </row>
    <row r="20" spans="1:12" ht="12.75" customHeight="1">
      <c r="A20" s="294">
        <v>412900</v>
      </c>
      <c r="B20" s="223" t="s">
        <v>331</v>
      </c>
      <c r="C20" s="109">
        <f>SUMIF(Org!$C$10:Org!$D$585,412900,Org!E$10:Org!E$586)</f>
        <v>542380</v>
      </c>
      <c r="D20" s="109">
        <f>SUMIF(Org!$C$10:Org!$D$585,412900,Org!F$10:Org!F$586)</f>
        <v>733910</v>
      </c>
      <c r="E20" s="141">
        <f t="shared" si="0"/>
        <v>135.3128802684465</v>
      </c>
      <c r="F20" s="202">
        <f t="shared" si="1"/>
        <v>3.5268857096036763</v>
      </c>
      <c r="H20" s="461"/>
      <c r="I20" s="461"/>
      <c r="J20" s="2"/>
      <c r="K20" s="2"/>
      <c r="L20" s="2"/>
    </row>
    <row r="21" spans="1:12" ht="15.75" customHeight="1">
      <c r="A21" s="313">
        <v>413000</v>
      </c>
      <c r="B21" s="318" t="s">
        <v>130</v>
      </c>
      <c r="C21" s="319">
        <f>SUM(C22:C24)</f>
        <v>180000</v>
      </c>
      <c r="D21" s="319">
        <f>SUM(D22:D24)</f>
        <v>150000</v>
      </c>
      <c r="E21" s="77">
        <f t="shared" si="0"/>
        <v>83.33333333333334</v>
      </c>
      <c r="F21" s="320">
        <f t="shared" si="1"/>
        <v>0.7208415969813077</v>
      </c>
      <c r="G21" s="1"/>
      <c r="H21" s="461"/>
      <c r="I21" s="461"/>
      <c r="J21" s="2"/>
      <c r="K21" s="2"/>
      <c r="L21" s="2"/>
    </row>
    <row r="22" spans="1:12" ht="12.75">
      <c r="A22" s="295">
        <v>413300</v>
      </c>
      <c r="B22" s="103" t="s">
        <v>131</v>
      </c>
      <c r="C22" s="296">
        <f>SUMIF(Org!$C$10:Org!$D$585,413300,Org!E$10:Org!E$586)</f>
        <v>180000</v>
      </c>
      <c r="D22" s="296">
        <f>SUMIF(Org!$C$10:Org!$D$585,413300,Org!F$10:Org!F$586)</f>
        <v>150000</v>
      </c>
      <c r="E22" s="141">
        <f t="shared" si="0"/>
        <v>83.33333333333334</v>
      </c>
      <c r="F22" s="202">
        <f t="shared" si="1"/>
        <v>0.7208415969813077</v>
      </c>
      <c r="H22" s="461"/>
      <c r="I22" s="461"/>
      <c r="J22" s="2"/>
      <c r="K22" s="2"/>
      <c r="L22" s="2"/>
    </row>
    <row r="23" spans="1:12" ht="18" customHeight="1" hidden="1">
      <c r="A23" s="295">
        <v>413400</v>
      </c>
      <c r="B23" s="103" t="s">
        <v>132</v>
      </c>
      <c r="C23" s="296">
        <f>SUMIF(Org!$C$10:Org!$D$585,413400,Org!E$10:Org!E$586)</f>
        <v>0</v>
      </c>
      <c r="D23" s="296">
        <f>SUMIF(Org!$C$10:Org!$D$585,413400,Org!F$10:Org!F$586)</f>
        <v>0</v>
      </c>
      <c r="E23" s="141" t="e">
        <f t="shared" si="0"/>
        <v>#DIV/0!</v>
      </c>
      <c r="F23" s="202">
        <f t="shared" si="1"/>
        <v>0</v>
      </c>
      <c r="H23" s="461"/>
      <c r="I23" s="461"/>
      <c r="J23" s="2"/>
      <c r="K23" s="2"/>
      <c r="L23" s="2"/>
    </row>
    <row r="24" spans="1:12" ht="19.5" customHeight="1">
      <c r="A24" s="295">
        <v>413700</v>
      </c>
      <c r="B24" s="103" t="s">
        <v>133</v>
      </c>
      <c r="C24" s="296">
        <f>SUMIF(Org!$C$10:Org!$D$585,413700,Org!E$10:Org!E$586)</f>
        <v>0</v>
      </c>
      <c r="D24" s="296">
        <f>SUMIF(Org!$C$10:Org!$D$585,413700,Org!F$10:Org!F$586)</f>
        <v>0</v>
      </c>
      <c r="E24" s="141">
        <v>0</v>
      </c>
      <c r="F24" s="262">
        <f t="shared" si="1"/>
        <v>0</v>
      </c>
      <c r="H24" s="461"/>
      <c r="I24" s="461"/>
      <c r="J24" s="2"/>
      <c r="K24" s="2"/>
      <c r="L24" s="2"/>
    </row>
    <row r="25" spans="1:12" ht="13.5" customHeight="1">
      <c r="A25" s="313">
        <v>414000</v>
      </c>
      <c r="B25" s="314" t="s">
        <v>175</v>
      </c>
      <c r="C25" s="76">
        <f>SUM(C26)</f>
        <v>450000</v>
      </c>
      <c r="D25" s="76">
        <f>SUM(D26)</f>
        <v>410000</v>
      </c>
      <c r="E25" s="77">
        <f t="shared" si="0"/>
        <v>91.11111111111111</v>
      </c>
      <c r="F25" s="79">
        <f t="shared" si="1"/>
        <v>1.9703003650822406</v>
      </c>
      <c r="G25" s="1"/>
      <c r="H25" s="461"/>
      <c r="I25" s="461"/>
      <c r="J25" s="2"/>
      <c r="K25" s="2"/>
      <c r="L25" s="2"/>
    </row>
    <row r="26" spans="1:12" ht="15" customHeight="1">
      <c r="A26" s="295">
        <v>414100</v>
      </c>
      <c r="B26" s="103" t="s">
        <v>175</v>
      </c>
      <c r="C26" s="296">
        <f>SUMIF(Org!$C$10:Org!$D$585,414100,Org!E$10:Org!E$586)</f>
        <v>450000</v>
      </c>
      <c r="D26" s="296">
        <f>SUMIF(Org!$C$10:Org!$D$585,414100,Org!F$10:Org!F$586)</f>
        <v>410000</v>
      </c>
      <c r="E26" s="141">
        <f t="shared" si="0"/>
        <v>91.11111111111111</v>
      </c>
      <c r="F26" s="202">
        <f t="shared" si="1"/>
        <v>1.9703003650822406</v>
      </c>
      <c r="H26" s="461"/>
      <c r="I26" s="461"/>
      <c r="J26" s="2"/>
      <c r="K26" s="2"/>
      <c r="L26" s="2"/>
    </row>
    <row r="27" spans="1:12" ht="14.25" customHeight="1">
      <c r="A27" s="313">
        <v>415000</v>
      </c>
      <c r="B27" s="317" t="s">
        <v>134</v>
      </c>
      <c r="C27" s="76">
        <f>SUM(C28)</f>
        <v>1466500</v>
      </c>
      <c r="D27" s="76">
        <f>SUM(D28)</f>
        <v>1132500</v>
      </c>
      <c r="E27" s="77">
        <f t="shared" si="0"/>
        <v>77.22468462325264</v>
      </c>
      <c r="F27" s="79">
        <f t="shared" si="1"/>
        <v>5.442354057208872</v>
      </c>
      <c r="H27" s="461"/>
      <c r="I27" s="461"/>
      <c r="J27" s="2"/>
      <c r="K27" s="2"/>
      <c r="L27" s="2"/>
    </row>
    <row r="28" spans="1:12" ht="15" customHeight="1">
      <c r="A28" s="294">
        <v>415200</v>
      </c>
      <c r="B28" s="223" t="s">
        <v>135</v>
      </c>
      <c r="C28" s="109">
        <f>SUMIF(Org!$C$10:Org!$D$585,415200,Org!E$10:Org!E$586)</f>
        <v>1466500</v>
      </c>
      <c r="D28" s="109">
        <f>SUMIF(Org!$C$10:Org!$D$585,415200,Org!F$10:Org!F$586)</f>
        <v>1132500</v>
      </c>
      <c r="E28" s="141">
        <f t="shared" si="0"/>
        <v>77.22468462325264</v>
      </c>
      <c r="F28" s="202">
        <f t="shared" si="1"/>
        <v>5.442354057208872</v>
      </c>
      <c r="G28" s="1"/>
      <c r="H28" s="461"/>
      <c r="I28" s="461"/>
      <c r="J28" s="2"/>
      <c r="K28" s="2"/>
      <c r="L28" s="2"/>
    </row>
    <row r="29" spans="1:12" ht="15" customHeight="1">
      <c r="A29" s="313">
        <v>416000</v>
      </c>
      <c r="B29" s="318" t="s">
        <v>672</v>
      </c>
      <c r="C29" s="76">
        <f>SUM(C30:C31)</f>
        <v>3216500</v>
      </c>
      <c r="D29" s="76">
        <f>SUM(D30:D31)</f>
        <v>3497100</v>
      </c>
      <c r="E29" s="77">
        <f t="shared" si="0"/>
        <v>108.7237680708845</v>
      </c>
      <c r="F29" s="79">
        <f t="shared" si="1"/>
        <v>16.805700992022203</v>
      </c>
      <c r="G29" s="1"/>
      <c r="H29" s="461"/>
      <c r="I29" s="464"/>
      <c r="J29" s="2"/>
      <c r="K29" s="2"/>
      <c r="L29" s="2"/>
    </row>
    <row r="30" spans="1:12" ht="25.5">
      <c r="A30" s="295">
        <v>416100</v>
      </c>
      <c r="B30" s="103" t="s">
        <v>136</v>
      </c>
      <c r="C30" s="109">
        <f>SUMIF(Org!$C$10:Org!$D$585,416100,Org!E$10:Org!E$586)</f>
        <v>2834500</v>
      </c>
      <c r="D30" s="109">
        <f>SUMIF(Org!$C$10:Org!$D$585,416100,Org!F$10:Org!F$586)</f>
        <v>3082100</v>
      </c>
      <c r="E30" s="141">
        <f t="shared" si="0"/>
        <v>108.73522667137061</v>
      </c>
      <c r="F30" s="202">
        <f t="shared" si="1"/>
        <v>14.811372573707255</v>
      </c>
      <c r="H30" s="461"/>
      <c r="I30" s="463"/>
      <c r="J30" s="2"/>
      <c r="K30" s="2"/>
      <c r="L30" s="2"/>
    </row>
    <row r="31" spans="1:12" ht="25.5">
      <c r="A31" s="295">
        <v>416300</v>
      </c>
      <c r="B31" s="103" t="s">
        <v>137</v>
      </c>
      <c r="C31" s="109">
        <f>SUMIF(Org!$C$10:Org!$D$585,416300,Org!E$10:Org!E$586)</f>
        <v>382000</v>
      </c>
      <c r="D31" s="109">
        <f>SUMIF(Org!$C$10:Org!$D$585,416300,Org!F$10:Org!F$586)</f>
        <v>415000</v>
      </c>
      <c r="E31" s="141">
        <f t="shared" si="0"/>
        <v>108.63874345549738</v>
      </c>
      <c r="F31" s="202">
        <f t="shared" si="1"/>
        <v>1.9943284183149512</v>
      </c>
      <c r="H31" s="2"/>
      <c r="I31" s="2"/>
      <c r="J31" s="2"/>
      <c r="K31" s="2"/>
      <c r="L31" s="2"/>
    </row>
    <row r="32" spans="1:12" ht="27" customHeight="1">
      <c r="A32" s="313">
        <v>418000</v>
      </c>
      <c r="B32" s="314" t="s">
        <v>417</v>
      </c>
      <c r="C32" s="76">
        <f>SUM(C33:C35)</f>
        <v>36500</v>
      </c>
      <c r="D32" s="76">
        <f>SUM(D33:D35)</f>
        <v>76550</v>
      </c>
      <c r="E32" s="77">
        <f t="shared" si="0"/>
        <v>209.72602739726028</v>
      </c>
      <c r="F32" s="79">
        <f t="shared" si="1"/>
        <v>0.367869494992794</v>
      </c>
      <c r="H32" s="2"/>
      <c r="I32" s="2"/>
      <c r="J32" s="2"/>
      <c r="K32" s="2"/>
      <c r="L32" s="2"/>
    </row>
    <row r="33" spans="1:12" ht="24" customHeight="1">
      <c r="A33" s="295">
        <v>418100</v>
      </c>
      <c r="B33" s="103" t="s">
        <v>400</v>
      </c>
      <c r="C33" s="109">
        <f>SUMIF(Org!$C$10:Org!$D$585,418100,Org!E$10:Org!E$586)</f>
        <v>3500</v>
      </c>
      <c r="D33" s="109">
        <f>SUMIF(Org!$C$10:Org!$D$585,418100,Org!F$10:Org!F$586)</f>
        <v>9100</v>
      </c>
      <c r="E33" s="141">
        <f t="shared" si="0"/>
        <v>260</v>
      </c>
      <c r="F33" s="202">
        <f t="shared" si="1"/>
        <v>0.04373105688353266</v>
      </c>
      <c r="H33" s="2"/>
      <c r="I33" s="2"/>
      <c r="J33" s="2"/>
      <c r="K33" s="2"/>
      <c r="L33" s="2"/>
    </row>
    <row r="34" spans="1:12" ht="12.75">
      <c r="A34" s="295">
        <v>418200</v>
      </c>
      <c r="B34" s="103" t="s">
        <v>418</v>
      </c>
      <c r="C34" s="109">
        <f>SUMIF(Org!$C$10:Org!$D$585,418200,Org!E$10:Org!E$586)</f>
        <v>33000</v>
      </c>
      <c r="D34" s="109">
        <f>SUMIF(Org!$C$10:Org!$D$585,418200,Org!F$10:Org!F$586)</f>
        <v>33000</v>
      </c>
      <c r="E34" s="141">
        <f t="shared" si="0"/>
        <v>100</v>
      </c>
      <c r="F34" s="202">
        <f t="shared" si="1"/>
        <v>0.1585851513358877</v>
      </c>
      <c r="H34" s="2"/>
      <c r="I34" s="2"/>
      <c r="J34" s="2"/>
      <c r="K34" s="2"/>
      <c r="L34" s="2"/>
    </row>
    <row r="35" spans="1:12" ht="12.75">
      <c r="A35" s="411">
        <v>418400</v>
      </c>
      <c r="B35" s="103" t="s">
        <v>625</v>
      </c>
      <c r="C35" s="109">
        <f>SUMIF(Org!$C$10:Org!$D$585,418400,Org!E$10:Org!E$586)</f>
        <v>0</v>
      </c>
      <c r="D35" s="109">
        <f>SUMIF(Org!$C$10:Org!$D$585,418400,Org!F$10:Org!F$586)</f>
        <v>34450</v>
      </c>
      <c r="E35" s="141">
        <v>0</v>
      </c>
      <c r="F35" s="202">
        <f t="shared" si="1"/>
        <v>0.16555328677337366</v>
      </c>
      <c r="H35" s="2"/>
      <c r="I35" s="2"/>
      <c r="J35" s="2"/>
      <c r="K35" s="2"/>
      <c r="L35" s="2"/>
    </row>
    <row r="36" spans="1:12" ht="16.5" customHeight="1">
      <c r="A36" s="313">
        <v>419000</v>
      </c>
      <c r="B36" s="314" t="s">
        <v>313</v>
      </c>
      <c r="C36" s="76">
        <f>SUM(C37)</f>
        <v>111500</v>
      </c>
      <c r="D36" s="76">
        <f>SUM(D37)</f>
        <v>152500</v>
      </c>
      <c r="E36" s="77">
        <f t="shared" si="0"/>
        <v>136.77130044843048</v>
      </c>
      <c r="F36" s="79">
        <f t="shared" si="1"/>
        <v>0.7328556235976627</v>
      </c>
      <c r="H36" s="2"/>
      <c r="I36" s="2"/>
      <c r="J36" s="2"/>
      <c r="K36" s="2"/>
      <c r="L36" s="2"/>
    </row>
    <row r="37" spans="1:12" ht="12.75">
      <c r="A37" s="295">
        <v>419100</v>
      </c>
      <c r="B37" s="103" t="s">
        <v>313</v>
      </c>
      <c r="C37" s="109">
        <f>SUMIF(Org!$C$10:Org!$D$585,419100,Org!E$10:Org!E$586)</f>
        <v>111500</v>
      </c>
      <c r="D37" s="109">
        <f>SUMIF(Org!$C$10:Org!$D$585,419100,Org!F$10:Org!F$586)</f>
        <v>152500</v>
      </c>
      <c r="E37" s="141">
        <f aca="true" t="shared" si="2" ref="E37:E56">D37/C37*100</f>
        <v>136.77130044843048</v>
      </c>
      <c r="F37" s="202">
        <f t="shared" si="1"/>
        <v>0.7328556235976627</v>
      </c>
      <c r="G37" s="1"/>
      <c r="H37" s="2"/>
      <c r="I37" s="2"/>
      <c r="J37" s="2"/>
      <c r="K37" s="2"/>
      <c r="L37" s="2"/>
    </row>
    <row r="38" spans="1:12" ht="17.25" customHeight="1">
      <c r="A38" s="312">
        <v>480000</v>
      </c>
      <c r="B38" s="291" t="s">
        <v>333</v>
      </c>
      <c r="C38" s="70">
        <f>SUM(C39:C42)</f>
        <v>201200</v>
      </c>
      <c r="D38" s="70">
        <f>SUM(D39:D42)</f>
        <v>231500</v>
      </c>
      <c r="E38" s="70">
        <f t="shared" si="2"/>
        <v>115.0596421471173</v>
      </c>
      <c r="F38" s="188">
        <f t="shared" si="1"/>
        <v>1.1124988646744847</v>
      </c>
      <c r="G38" s="1"/>
      <c r="H38" s="2"/>
      <c r="I38" s="2"/>
      <c r="J38" s="2"/>
      <c r="K38" s="2"/>
      <c r="L38" s="2"/>
    </row>
    <row r="39" spans="1:12" ht="12.75">
      <c r="A39" s="321">
        <v>487200</v>
      </c>
      <c r="B39" s="186" t="s">
        <v>359</v>
      </c>
      <c r="C39" s="109">
        <f>SUMIF(Org!$C$10:Org!$D$585,487200,Org!E$10:Org!E$586)</f>
        <v>6000</v>
      </c>
      <c r="D39" s="109">
        <f>SUMIF(Org!$C$10:Org!$D$585,487200,Org!F$10:Org!F$586)</f>
        <v>6000</v>
      </c>
      <c r="E39" s="141">
        <f t="shared" si="2"/>
        <v>100</v>
      </c>
      <c r="F39" s="202">
        <f t="shared" si="1"/>
        <v>0.028833663879252305</v>
      </c>
      <c r="H39" s="2"/>
      <c r="I39" s="2"/>
      <c r="J39" s="2"/>
      <c r="K39" s="2"/>
      <c r="L39" s="2"/>
    </row>
    <row r="40" spans="1:12" ht="12.75">
      <c r="A40" s="321">
        <v>487300</v>
      </c>
      <c r="B40" s="186" t="s">
        <v>356</v>
      </c>
      <c r="C40" s="109">
        <f>SUMIF(Org!$C$10:Org!$D$585,487300,Org!E$10:Org!E$586)</f>
        <v>1000</v>
      </c>
      <c r="D40" s="109">
        <f>SUMIF(Org!$C$10:Org!$D$585,487300,Org!F$10:Org!F$586)</f>
        <v>1000</v>
      </c>
      <c r="E40" s="141">
        <f t="shared" si="2"/>
        <v>100</v>
      </c>
      <c r="F40" s="202">
        <f t="shared" si="1"/>
        <v>0.004805610646542051</v>
      </c>
      <c r="H40" s="2"/>
      <c r="I40" s="2"/>
      <c r="J40" s="2"/>
      <c r="K40" s="2"/>
      <c r="L40" s="2"/>
    </row>
    <row r="41" spans="1:12" ht="12.75">
      <c r="A41" s="295">
        <v>487400</v>
      </c>
      <c r="B41" s="103" t="s">
        <v>332</v>
      </c>
      <c r="C41" s="109">
        <f>SUMIF(Org!$C$10:Org!$D$585,487400,Org!E$10:Org!E$586)</f>
        <v>173000</v>
      </c>
      <c r="D41" s="109">
        <f>SUMIF(Org!$C$10:Org!$D$585,487400,Org!F$10:Org!F$586)</f>
        <v>203000</v>
      </c>
      <c r="E41" s="141">
        <f t="shared" si="2"/>
        <v>117.34104046242774</v>
      </c>
      <c r="F41" s="202">
        <f t="shared" si="1"/>
        <v>0.9755389612480363</v>
      </c>
      <c r="H41" s="2"/>
      <c r="I41" s="2"/>
      <c r="J41" s="2"/>
      <c r="K41" s="2"/>
      <c r="L41" s="2"/>
    </row>
    <row r="42" spans="1:12" ht="12.75">
      <c r="A42" s="295">
        <v>487900</v>
      </c>
      <c r="B42" s="103" t="s">
        <v>344</v>
      </c>
      <c r="C42" s="109">
        <f>SUMIF(Org!$C$10:Org!$D$585,487900,Org!E$10:Org!E$586)</f>
        <v>21200</v>
      </c>
      <c r="D42" s="109">
        <f>SUMIF(Org!$C$10:Org!$D$585,487900,Org!F$10:Org!F$586)</f>
        <v>21500</v>
      </c>
      <c r="E42" s="141">
        <f t="shared" si="2"/>
        <v>101.41509433962264</v>
      </c>
      <c r="F42" s="202">
        <f t="shared" si="1"/>
        <v>0.1033206289006541</v>
      </c>
      <c r="H42" s="2"/>
      <c r="I42" s="2"/>
      <c r="J42" s="2"/>
      <c r="K42" s="2"/>
      <c r="L42" s="2"/>
    </row>
    <row r="43" spans="1:12" ht="19.5" customHeight="1">
      <c r="A43" s="312" t="s">
        <v>192</v>
      </c>
      <c r="B43" s="322" t="s">
        <v>315</v>
      </c>
      <c r="C43" s="70">
        <f>Org!E586</f>
        <v>220000</v>
      </c>
      <c r="D43" s="70">
        <f>Org!F586</f>
        <v>210000</v>
      </c>
      <c r="E43" s="70">
        <f t="shared" si="2"/>
        <v>95.45454545454545</v>
      </c>
      <c r="F43" s="188">
        <f t="shared" si="1"/>
        <v>1.0091782357738306</v>
      </c>
      <c r="G43" s="1"/>
      <c r="H43" s="2"/>
      <c r="I43" s="2"/>
      <c r="J43" s="2"/>
      <c r="K43" s="2"/>
      <c r="L43" s="2"/>
    </row>
    <row r="44" spans="1:12" ht="17.25" customHeight="1">
      <c r="A44" s="323">
        <v>510000</v>
      </c>
      <c r="B44" s="114" t="s">
        <v>341</v>
      </c>
      <c r="C44" s="63">
        <f>C45+C51+C54</f>
        <v>1630200</v>
      </c>
      <c r="D44" s="63">
        <f>D45+D51+D54</f>
        <v>2654700</v>
      </c>
      <c r="E44" s="63">
        <f t="shared" si="2"/>
        <v>162.84504968715495</v>
      </c>
      <c r="F44" s="311">
        <f t="shared" si="1"/>
        <v>12.757454583375182</v>
      </c>
      <c r="G44" s="1"/>
      <c r="H44" s="2"/>
      <c r="I44" s="2"/>
      <c r="J44" s="2"/>
      <c r="K44" s="2"/>
      <c r="L44" s="2"/>
    </row>
    <row r="45" spans="1:12" ht="15.75" customHeight="1">
      <c r="A45" s="313">
        <v>511000</v>
      </c>
      <c r="B45" s="317" t="s">
        <v>138</v>
      </c>
      <c r="C45" s="76">
        <f>SUM(C46:C50)</f>
        <v>1480500</v>
      </c>
      <c r="D45" s="76">
        <f>SUM(D46:D50)</f>
        <v>2436700</v>
      </c>
      <c r="E45" s="77">
        <f t="shared" si="2"/>
        <v>164.58628841607566</v>
      </c>
      <c r="F45" s="79">
        <f t="shared" si="1"/>
        <v>11.709831462429015</v>
      </c>
      <c r="H45" s="2"/>
      <c r="I45" s="2"/>
      <c r="J45" s="2"/>
      <c r="K45" s="2"/>
      <c r="L45" s="2"/>
    </row>
    <row r="46" spans="1:12" ht="12.75" customHeight="1">
      <c r="A46" s="294">
        <v>511100</v>
      </c>
      <c r="B46" s="144" t="s">
        <v>139</v>
      </c>
      <c r="C46" s="296">
        <f>SUMIF(Org!$C$10:Org!$D$585,511100,Org!E$10:Org!E$585)</f>
        <v>50000</v>
      </c>
      <c r="D46" s="296">
        <f>SUMIF(Org!$C$10:Org!$D$585,511100,Org!F$10:Org!F$585)</f>
        <v>0</v>
      </c>
      <c r="E46" s="141">
        <f t="shared" si="2"/>
        <v>0</v>
      </c>
      <c r="F46" s="202">
        <f t="shared" si="1"/>
        <v>0</v>
      </c>
      <c r="G46" s="1"/>
      <c r="H46" s="2"/>
      <c r="I46" s="2"/>
      <c r="J46" s="2"/>
      <c r="K46" s="2"/>
      <c r="L46" s="2"/>
    </row>
    <row r="47" spans="1:12" ht="27" customHeight="1">
      <c r="A47" s="295">
        <v>511200</v>
      </c>
      <c r="B47" s="103" t="s">
        <v>140</v>
      </c>
      <c r="C47" s="296">
        <f>SUMIF(Org!$C$10:Org!$D$585,511200,Org!E$10:Org!E$585)</f>
        <v>1072000</v>
      </c>
      <c r="D47" s="296">
        <f>SUMIF(Org!$C$10:Org!$D$585,511200,Org!F$10:Org!F$585)</f>
        <v>1976000</v>
      </c>
      <c r="E47" s="141">
        <f t="shared" si="2"/>
        <v>184.32835820895522</v>
      </c>
      <c r="F47" s="202">
        <f t="shared" si="1"/>
        <v>9.495886637567093</v>
      </c>
      <c r="H47" s="2"/>
      <c r="I47" s="2"/>
      <c r="J47" s="2"/>
      <c r="K47" s="2"/>
      <c r="L47" s="2"/>
    </row>
    <row r="48" spans="1:12" ht="12.75" customHeight="1">
      <c r="A48" s="295">
        <v>511300</v>
      </c>
      <c r="B48" s="151" t="s">
        <v>141</v>
      </c>
      <c r="C48" s="296">
        <f>SUMIF(Org!$C$10:Org!$D$585,511300,Org!E$10:Org!E$585)</f>
        <v>343500</v>
      </c>
      <c r="D48" s="296">
        <f>SUMIF(Org!$C$10:Org!$D$585,511300,Org!F$10:Org!F$585)</f>
        <v>450700</v>
      </c>
      <c r="E48" s="141">
        <f t="shared" si="2"/>
        <v>131.20815138282387</v>
      </c>
      <c r="F48" s="202">
        <f t="shared" si="1"/>
        <v>2.165888718396502</v>
      </c>
      <c r="H48" s="2"/>
      <c r="I48" s="2"/>
      <c r="J48" s="2"/>
      <c r="K48" s="2"/>
      <c r="L48" s="2"/>
    </row>
    <row r="49" spans="1:12" ht="12.75" customHeight="1">
      <c r="A49" s="295">
        <v>511400</v>
      </c>
      <c r="B49" s="151" t="s">
        <v>231</v>
      </c>
      <c r="C49" s="296">
        <f>SUMIF(Org!$C$10:Org!$D$585,511400,Org!E$10:Org!E$585)</f>
        <v>15000</v>
      </c>
      <c r="D49" s="296">
        <f>SUMIF(Org!$C$10:Org!$D$585,511400,Org!F$10:Org!F$585)</f>
        <v>10000</v>
      </c>
      <c r="E49" s="141">
        <f t="shared" si="2"/>
        <v>66.66666666666666</v>
      </c>
      <c r="F49" s="202">
        <f t="shared" si="1"/>
        <v>0.04805610646542051</v>
      </c>
      <c r="H49" s="2"/>
      <c r="I49" s="2"/>
      <c r="J49" s="2"/>
      <c r="K49" s="2"/>
      <c r="L49" s="2"/>
    </row>
    <row r="50" spans="1:12" ht="12.75" customHeight="1">
      <c r="A50" s="295">
        <v>511700</v>
      </c>
      <c r="B50" s="151" t="s">
        <v>589</v>
      </c>
      <c r="C50" s="296">
        <f>SUMIF(Org!$C$10:Org!$D$585,511700,Org!E$10:Org!E$585)</f>
        <v>0</v>
      </c>
      <c r="D50" s="296">
        <f>SUMIF(Org!$C$10:Org!$D$585,511700,Org!F$10:Org!F$585)</f>
        <v>0</v>
      </c>
      <c r="E50" s="141" t="e">
        <f t="shared" si="2"/>
        <v>#DIV/0!</v>
      </c>
      <c r="F50" s="202">
        <f t="shared" si="1"/>
        <v>0</v>
      </c>
      <c r="H50" s="2"/>
      <c r="I50" s="2"/>
      <c r="J50" s="2"/>
      <c r="K50" s="2"/>
      <c r="L50" s="2"/>
    </row>
    <row r="51" spans="1:12" ht="15.75" customHeight="1">
      <c r="A51" s="324">
        <v>513000</v>
      </c>
      <c r="B51" s="317" t="s">
        <v>165</v>
      </c>
      <c r="C51" s="76">
        <f>SUM(C52:C53)</f>
        <v>100000</v>
      </c>
      <c r="D51" s="76">
        <f>SUM(D52:D53)</f>
        <v>150000</v>
      </c>
      <c r="E51" s="77">
        <f t="shared" si="2"/>
        <v>150</v>
      </c>
      <c r="F51" s="79">
        <f t="shared" si="1"/>
        <v>0.7208415969813077</v>
      </c>
      <c r="G51" s="1"/>
      <c r="H51" s="2"/>
      <c r="I51" s="2"/>
      <c r="J51" s="2"/>
      <c r="K51" s="2"/>
      <c r="L51" s="2"/>
    </row>
    <row r="52" spans="1:12" ht="12.75" customHeight="1">
      <c r="A52" s="295">
        <v>513100</v>
      </c>
      <c r="B52" s="151" t="s">
        <v>166</v>
      </c>
      <c r="C52" s="296">
        <f>SUMIF(Org!$C$10:Org!$D$585,513100,Org!E$10:Org!E$585)</f>
        <v>100000</v>
      </c>
      <c r="D52" s="296">
        <f>SUMIF(Org!$C$10:Org!$D$585,513100,Org!F$10:Org!F$585)</f>
        <v>150000</v>
      </c>
      <c r="E52" s="141">
        <f t="shared" si="2"/>
        <v>150</v>
      </c>
      <c r="F52" s="202">
        <f t="shared" si="1"/>
        <v>0.7208415969813077</v>
      </c>
      <c r="H52" s="2"/>
      <c r="I52" s="2"/>
      <c r="J52" s="2"/>
      <c r="K52" s="2"/>
      <c r="L52" s="2"/>
    </row>
    <row r="53" spans="1:12" ht="12.75" customHeight="1" hidden="1">
      <c r="A53" s="295">
        <v>513700</v>
      </c>
      <c r="B53" s="151" t="s">
        <v>590</v>
      </c>
      <c r="C53" s="296">
        <f>SUMIF(Org!$C$10:Org!$D$585,513700,Org!E$10:Org!E$585)</f>
        <v>0</v>
      </c>
      <c r="D53" s="296">
        <f>SUMIF(Org!$C$10:Org!$D$585,513700,Org!F$10:Org!F$585)</f>
        <v>0</v>
      </c>
      <c r="E53" s="141">
        <v>0</v>
      </c>
      <c r="F53" s="202">
        <f t="shared" si="1"/>
        <v>0</v>
      </c>
      <c r="H53" s="2"/>
      <c r="I53" s="2"/>
      <c r="J53" s="2"/>
      <c r="K53" s="2"/>
      <c r="L53" s="2"/>
    </row>
    <row r="54" spans="1:12" ht="28.5" customHeight="1">
      <c r="A54" s="324">
        <v>516000</v>
      </c>
      <c r="B54" s="314" t="s">
        <v>281</v>
      </c>
      <c r="C54" s="76">
        <f>SUM(C55)</f>
        <v>49700</v>
      </c>
      <c r="D54" s="76">
        <f>SUM(D55)</f>
        <v>68000</v>
      </c>
      <c r="E54" s="77">
        <f t="shared" si="2"/>
        <v>136.82092555331994</v>
      </c>
      <c r="F54" s="79">
        <f t="shared" si="1"/>
        <v>0.3267815239648595</v>
      </c>
      <c r="G54" s="1"/>
      <c r="H54" s="2"/>
      <c r="I54" s="2"/>
      <c r="J54" s="2"/>
      <c r="K54" s="2"/>
      <c r="L54" s="2"/>
    </row>
    <row r="55" spans="1:12" ht="24.75" customHeight="1">
      <c r="A55" s="295">
        <v>516100</v>
      </c>
      <c r="B55" s="103" t="s">
        <v>281</v>
      </c>
      <c r="C55" s="296">
        <f>SUMIF(Org!$C$10:Org!$D$585,516100,Org!E$10:Org!E$585)</f>
        <v>49700</v>
      </c>
      <c r="D55" s="296">
        <f>SUMIF(Org!$C$10:Org!$D$585,516100,Org!F$10:Org!F$585)</f>
        <v>68000</v>
      </c>
      <c r="E55" s="141">
        <f t="shared" si="2"/>
        <v>136.82092555331994</v>
      </c>
      <c r="F55" s="202">
        <f t="shared" si="1"/>
        <v>0.3267815239648595</v>
      </c>
      <c r="H55" s="2"/>
      <c r="I55" s="2"/>
      <c r="J55" s="2"/>
      <c r="K55" s="2"/>
      <c r="L55" s="2"/>
    </row>
    <row r="56" spans="1:12" ht="31.5" customHeight="1" thickBot="1">
      <c r="A56" s="325"/>
      <c r="B56" s="117" t="s">
        <v>267</v>
      </c>
      <c r="C56" s="119">
        <f>C4+C44</f>
        <v>14933200</v>
      </c>
      <c r="D56" s="119">
        <f>D4+D44</f>
        <v>20809010</v>
      </c>
      <c r="E56" s="119">
        <f t="shared" si="2"/>
        <v>139.34729327940428</v>
      </c>
      <c r="F56" s="326">
        <f t="shared" si="1"/>
        <v>100</v>
      </c>
      <c r="G56" s="1"/>
      <c r="H56" s="461"/>
      <c r="I56" s="2"/>
      <c r="J56" s="2"/>
      <c r="K56" s="2"/>
      <c r="L56" s="2"/>
    </row>
    <row r="57" spans="1:12" ht="31.5" customHeight="1" thickTop="1">
      <c r="A57" s="18"/>
      <c r="B57" s="46"/>
      <c r="C57" s="45"/>
      <c r="D57" s="45"/>
      <c r="E57" s="45"/>
      <c r="F57" s="47"/>
      <c r="G57" s="1"/>
      <c r="H57" s="2"/>
      <c r="I57" s="2"/>
      <c r="J57" s="2"/>
      <c r="K57" s="2"/>
      <c r="L57" s="2"/>
    </row>
    <row r="58" spans="1:12" ht="18.75" customHeight="1">
      <c r="A58" s="11"/>
      <c r="B58" s="58"/>
      <c r="C58" s="375"/>
      <c r="D58" s="375"/>
      <c r="E58" s="12"/>
      <c r="F58" s="11"/>
      <c r="H58" s="2"/>
      <c r="I58" s="2"/>
      <c r="J58" s="2"/>
      <c r="K58" s="2"/>
      <c r="L58" s="2"/>
    </row>
    <row r="59" spans="1:12" ht="12.75" customHeight="1">
      <c r="A59" s="11"/>
      <c r="B59" s="463"/>
      <c r="C59" s="12"/>
      <c r="D59" s="12"/>
      <c r="E59" s="12"/>
      <c r="F59" s="11"/>
      <c r="G59" s="1"/>
      <c r="H59" s="2"/>
      <c r="I59" s="2"/>
      <c r="J59" s="2"/>
      <c r="K59" s="2"/>
      <c r="L59" s="2"/>
    </row>
    <row r="60" spans="2:12" ht="12.75" customHeight="1">
      <c r="B60" s="463"/>
      <c r="C60" s="464"/>
      <c r="D60" s="464"/>
      <c r="E60" s="12"/>
      <c r="G60" s="1"/>
      <c r="H60" s="461"/>
      <c r="I60" s="2"/>
      <c r="J60" s="2"/>
      <c r="K60" s="2"/>
      <c r="L60" s="2"/>
    </row>
    <row r="61" spans="2:12" ht="12.75" customHeight="1">
      <c r="B61" s="465"/>
      <c r="C61" s="466"/>
      <c r="D61" s="466"/>
      <c r="E61" s="35"/>
      <c r="H61" s="461"/>
      <c r="I61" s="2"/>
      <c r="J61" s="2"/>
      <c r="K61" s="2"/>
      <c r="L61" s="2"/>
    </row>
    <row r="62" spans="2:12" ht="12.75" customHeight="1">
      <c r="B62" s="465"/>
      <c r="C62" s="467"/>
      <c r="D62" s="467"/>
      <c r="E62" s="35"/>
      <c r="H62" s="2"/>
      <c r="I62" s="2"/>
      <c r="J62" s="2"/>
      <c r="K62" s="2"/>
      <c r="L62" s="2"/>
    </row>
    <row r="63" spans="2:12" ht="12.75" customHeight="1">
      <c r="B63" s="2"/>
      <c r="C63" s="2"/>
      <c r="D63" s="2"/>
      <c r="H63" s="2"/>
      <c r="I63" s="2"/>
      <c r="J63" s="2"/>
      <c r="K63" s="2"/>
      <c r="L63" s="2"/>
    </row>
    <row r="64" spans="2:12" ht="12.75" customHeight="1">
      <c r="B64" s="2"/>
      <c r="C64" s="461"/>
      <c r="D64" s="461"/>
      <c r="E64" s="1"/>
      <c r="H64" s="2"/>
      <c r="I64" s="2"/>
      <c r="J64" s="2"/>
      <c r="K64" s="2"/>
      <c r="L64" s="2"/>
    </row>
    <row r="65" spans="2:12" ht="12.75" customHeight="1">
      <c r="B65" s="468"/>
      <c r="C65" s="467"/>
      <c r="D65" s="467"/>
      <c r="H65" s="2"/>
      <c r="I65" s="2"/>
      <c r="J65" s="2"/>
      <c r="K65" s="2"/>
      <c r="L65" s="2"/>
    </row>
    <row r="66" spans="2:12" ht="12.75" customHeight="1">
      <c r="B66" s="468"/>
      <c r="C66" s="467"/>
      <c r="D66" s="467"/>
      <c r="H66" s="2"/>
      <c r="I66" s="2"/>
      <c r="J66" s="2"/>
      <c r="K66" s="2"/>
      <c r="L66" s="2"/>
    </row>
    <row r="67" spans="2:12" ht="12.75" customHeight="1">
      <c r="B67" s="2"/>
      <c r="C67" s="2"/>
      <c r="D67" s="2"/>
      <c r="H67" s="2"/>
      <c r="I67" s="2"/>
      <c r="J67" s="2"/>
      <c r="K67" s="2"/>
      <c r="L67" s="2"/>
    </row>
    <row r="68" ht="8.25" customHeight="1"/>
    <row r="69" spans="2:4" ht="12.75" customHeight="1" hidden="1">
      <c r="B69" s="447" t="s">
        <v>666</v>
      </c>
      <c r="D69" s="1">
        <f>D7+D8+D9+D10+D12+D13+D14+D15+D16+D17+D18+D19+D20+D22+D24+D26+D28+D30+D31+D33+D34+D35+D37+D39+D40+D41+D42+D43+D46+D47+D48+D49+D50+D52+D53+D55</f>
        <v>20809010</v>
      </c>
    </row>
    <row r="70" spans="2:4" ht="12.75" customHeight="1" hidden="1">
      <c r="B70" s="447" t="s">
        <v>667</v>
      </c>
      <c r="D70" s="1">
        <f>Finansiranje!D10+Finansiranje!D16+Finansiranje!D17+Finansiranje!D19+Finansiranje!D29+Finansiranje!D30+Finansiranje!D31+Finansiranje!D33+Finansiranje!D34</f>
        <v>1390990</v>
      </c>
    </row>
    <row r="71" ht="12.75" customHeight="1" hidden="1">
      <c r="D71" s="1">
        <f>SUM(D69:D70)</f>
        <v>22200000</v>
      </c>
    </row>
  </sheetData>
  <sheetProtection/>
  <mergeCells count="1">
    <mergeCell ref="A1:F1"/>
  </mergeCells>
  <printOptions horizontalCentered="1"/>
  <pageMargins left="0.15748031496062992" right="0.15748031496062992" top="0.5118110236220472" bottom="0.4330708661417323" header="0.3937007874015748" footer="0.1968503937007874"/>
  <pageSetup horizontalDpi="600" verticalDpi="600" orientation="landscape" paperSize="9" scale="115" r:id="rId1"/>
  <headerFooter alignWithMargins="0">
    <oddFooter>&amp;R&amp;P</oddFooter>
  </headerFooter>
  <rowBreaks count="2" manualBreakCount="2">
    <brk id="26" max="5" man="1"/>
    <brk id="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48"/>
  <sheetViews>
    <sheetView zoomScale="90" zoomScaleNormal="90" zoomScalePageLayoutView="0" workbookViewId="0" topLeftCell="A22">
      <selection activeCell="I28" sqref="I28"/>
    </sheetView>
  </sheetViews>
  <sheetFormatPr defaultColWidth="9.140625" defaultRowHeight="12.75"/>
  <cols>
    <col min="1" max="1" width="12.8515625" style="0" customWidth="1"/>
    <col min="2" max="2" width="69.57421875" style="0" customWidth="1"/>
    <col min="3" max="3" width="21.28125" style="0" customWidth="1"/>
    <col min="4" max="4" width="18.421875" style="0" customWidth="1"/>
    <col min="5" max="5" width="14.7109375" style="0" customWidth="1"/>
  </cols>
  <sheetData>
    <row r="1" spans="1:4" ht="39.75" customHeight="1" thickBot="1">
      <c r="A1" s="489" t="s">
        <v>542</v>
      </c>
      <c r="B1" s="489"/>
      <c r="C1" s="489"/>
      <c r="D1" s="489"/>
    </row>
    <row r="2" spans="1:4" ht="18.75" customHeight="1" thickTop="1">
      <c r="A2" s="490" t="s">
        <v>57</v>
      </c>
      <c r="B2" s="492" t="s">
        <v>205</v>
      </c>
      <c r="C2" s="514" t="s">
        <v>531</v>
      </c>
      <c r="D2" s="494" t="s">
        <v>548</v>
      </c>
    </row>
    <row r="3" spans="1:4" ht="44.25" customHeight="1">
      <c r="A3" s="491"/>
      <c r="B3" s="493"/>
      <c r="C3" s="515"/>
      <c r="D3" s="495"/>
    </row>
    <row r="4" spans="1:4" s="5" customFormat="1" ht="12.75" customHeight="1">
      <c r="A4" s="125">
        <v>1</v>
      </c>
      <c r="B4" s="122">
        <v>2</v>
      </c>
      <c r="C4" s="440">
        <v>3</v>
      </c>
      <c r="D4" s="426">
        <v>4</v>
      </c>
    </row>
    <row r="5" spans="1:4" ht="12.75">
      <c r="A5" s="288"/>
      <c r="B5" s="289"/>
      <c r="C5" s="289"/>
      <c r="D5" s="427"/>
    </row>
    <row r="6" spans="1:4" ht="21" customHeight="1">
      <c r="A6" s="290"/>
      <c r="B6" s="291" t="s">
        <v>263</v>
      </c>
      <c r="C6" s="70">
        <f>C7-C9</f>
        <v>0</v>
      </c>
      <c r="D6" s="428">
        <f>D7-D9</f>
        <v>37000</v>
      </c>
    </row>
    <row r="7" spans="1:4" ht="16.5" customHeight="1">
      <c r="A7" s="292">
        <v>910000</v>
      </c>
      <c r="B7" s="293" t="s">
        <v>257</v>
      </c>
      <c r="C7" s="77">
        <f>SUM(C8)</f>
        <v>0</v>
      </c>
      <c r="D7" s="429">
        <f>SUM(D8)</f>
        <v>37000</v>
      </c>
    </row>
    <row r="8" spans="1:5" ht="18" customHeight="1">
      <c r="A8" s="321">
        <v>911400</v>
      </c>
      <c r="B8" s="186" t="s">
        <v>632</v>
      </c>
      <c r="C8" s="83">
        <v>0</v>
      </c>
      <c r="D8" s="430">
        <v>37000</v>
      </c>
      <c r="E8" s="448"/>
    </row>
    <row r="9" spans="1:4" ht="18" customHeight="1">
      <c r="A9" s="292">
        <v>610000</v>
      </c>
      <c r="B9" s="293" t="s">
        <v>259</v>
      </c>
      <c r="C9" s="77">
        <f>SUM(C10)</f>
        <v>0</v>
      </c>
      <c r="D9" s="429">
        <f>SUM(D10)</f>
        <v>0</v>
      </c>
    </row>
    <row r="10" spans="1:4" ht="17.25" customHeight="1">
      <c r="A10" s="294">
        <v>611000</v>
      </c>
      <c r="B10" s="186" t="s">
        <v>260</v>
      </c>
      <c r="C10" s="83">
        <f>Org!E445</f>
        <v>0</v>
      </c>
      <c r="D10" s="430">
        <f>Org!F445</f>
        <v>0</v>
      </c>
    </row>
    <row r="11" spans="1:4" ht="15.75" customHeight="1">
      <c r="A11" s="294"/>
      <c r="B11" s="291" t="s">
        <v>280</v>
      </c>
      <c r="C11" s="70">
        <f>C12-C14</f>
        <v>-1077000</v>
      </c>
      <c r="D11" s="428">
        <f>D12-D14</f>
        <v>-1122000</v>
      </c>
    </row>
    <row r="12" spans="1:4" ht="18" customHeight="1">
      <c r="A12" s="292">
        <v>920000</v>
      </c>
      <c r="B12" s="293" t="s">
        <v>264</v>
      </c>
      <c r="C12" s="77">
        <f>C13</f>
        <v>0</v>
      </c>
      <c r="D12" s="429">
        <f>D13</f>
        <v>0</v>
      </c>
    </row>
    <row r="13" spans="1:4" ht="17.25" customHeight="1">
      <c r="A13" s="321">
        <v>921200</v>
      </c>
      <c r="B13" s="90" t="s">
        <v>296</v>
      </c>
      <c r="C13" s="109">
        <v>0</v>
      </c>
      <c r="D13" s="430">
        <v>0</v>
      </c>
    </row>
    <row r="14" spans="1:4" ht="17.25" customHeight="1">
      <c r="A14" s="292">
        <v>620000</v>
      </c>
      <c r="B14" s="293" t="s">
        <v>262</v>
      </c>
      <c r="C14" s="77">
        <f>C15+C18</f>
        <v>1077000</v>
      </c>
      <c r="D14" s="429">
        <f>D15+D18</f>
        <v>1122000</v>
      </c>
    </row>
    <row r="15" spans="1:4" ht="17.25" customHeight="1">
      <c r="A15" s="292">
        <v>621000</v>
      </c>
      <c r="B15" s="101" t="s">
        <v>142</v>
      </c>
      <c r="C15" s="95">
        <f>SUM(C16:C17)</f>
        <v>897000</v>
      </c>
      <c r="D15" s="431">
        <f>SUM(D16:D17)</f>
        <v>925000</v>
      </c>
    </row>
    <row r="16" spans="1:4" ht="16.5" customHeight="1">
      <c r="A16" s="411">
        <v>621300</v>
      </c>
      <c r="B16" s="103" t="s">
        <v>150</v>
      </c>
      <c r="C16" s="296">
        <f>SUMIF(Org!$C$10:$D$579,621300,Org!E$10:E$579)</f>
        <v>872000</v>
      </c>
      <c r="D16" s="432">
        <f>SUMIF(Org!$C$10:$D$579,621300,Org!F$10:F$579)</f>
        <v>900000</v>
      </c>
    </row>
    <row r="17" spans="1:4" ht="15.75" customHeight="1">
      <c r="A17" s="295">
        <v>621900</v>
      </c>
      <c r="B17" s="103" t="s">
        <v>298</v>
      </c>
      <c r="C17" s="296">
        <f>SUMIF(Org!$C$10:$D$579,621900,Org!E$10:E$579)</f>
        <v>25000</v>
      </c>
      <c r="D17" s="432">
        <f>SUMIF(Org!$C$10:$D$579,621900,Org!F$10:F$579)</f>
        <v>25000</v>
      </c>
    </row>
    <row r="18" spans="1:4" ht="15.75" customHeight="1">
      <c r="A18" s="292">
        <v>628000</v>
      </c>
      <c r="B18" s="162" t="s">
        <v>401</v>
      </c>
      <c r="C18" s="98">
        <f>SUM(C19)</f>
        <v>180000</v>
      </c>
      <c r="D18" s="433">
        <f>SUM(D19)</f>
        <v>197000</v>
      </c>
    </row>
    <row r="19" spans="1:4" ht="15.75" customHeight="1">
      <c r="A19" s="295">
        <v>628100</v>
      </c>
      <c r="B19" s="103" t="s">
        <v>404</v>
      </c>
      <c r="C19" s="296">
        <f>SUMIF(Org!$C$10:$D$579,628100,Org!E$10:E$579)</f>
        <v>180000</v>
      </c>
      <c r="D19" s="432">
        <f>SUMIF(Org!$C$10:$D$579,628100,Org!F$10:F$579)</f>
        <v>197000</v>
      </c>
    </row>
    <row r="20" spans="1:4" ht="20.25" customHeight="1">
      <c r="A20" s="295"/>
      <c r="B20" s="291" t="s">
        <v>335</v>
      </c>
      <c r="C20" s="70">
        <f>C21-C27</f>
        <v>-1099800</v>
      </c>
      <c r="D20" s="428">
        <f>D21-D27</f>
        <v>88710</v>
      </c>
    </row>
    <row r="21" spans="1:4" ht="15.75" customHeight="1">
      <c r="A21" s="292">
        <v>930000</v>
      </c>
      <c r="B21" s="293" t="s">
        <v>336</v>
      </c>
      <c r="C21" s="77">
        <f>C22+C24</f>
        <v>140000</v>
      </c>
      <c r="D21" s="429">
        <f>D22+D24</f>
        <v>357700</v>
      </c>
    </row>
    <row r="22" spans="1:4" ht="17.25" customHeight="1">
      <c r="A22" s="292">
        <v>931000</v>
      </c>
      <c r="B22" s="101" t="s">
        <v>320</v>
      </c>
      <c r="C22" s="95">
        <f>SUM(C23)</f>
        <v>0</v>
      </c>
      <c r="D22" s="431">
        <f>SUM(D23)</f>
        <v>28400</v>
      </c>
    </row>
    <row r="23" spans="1:4" ht="16.5" customHeight="1">
      <c r="A23" s="321">
        <v>931100</v>
      </c>
      <c r="B23" s="186" t="s">
        <v>633</v>
      </c>
      <c r="C23" s="83">
        <v>0</v>
      </c>
      <c r="D23" s="430">
        <v>28400</v>
      </c>
    </row>
    <row r="24" spans="1:4" ht="15.75" customHeight="1">
      <c r="A24" s="292">
        <v>938000</v>
      </c>
      <c r="B24" s="299" t="s">
        <v>365</v>
      </c>
      <c r="C24" s="96">
        <f>SUM(C25:C26)</f>
        <v>140000</v>
      </c>
      <c r="D24" s="434">
        <f>SUM(D25:D26)</f>
        <v>329300</v>
      </c>
    </row>
    <row r="25" spans="1:4" ht="25.5">
      <c r="A25" s="295">
        <v>938100</v>
      </c>
      <c r="B25" s="90" t="s">
        <v>366</v>
      </c>
      <c r="C25" s="109">
        <v>140000</v>
      </c>
      <c r="D25" s="435">
        <v>270000</v>
      </c>
    </row>
    <row r="26" spans="1:4" ht="25.5">
      <c r="A26" s="411">
        <v>938100</v>
      </c>
      <c r="B26" s="90" t="s">
        <v>634</v>
      </c>
      <c r="C26" s="109">
        <v>0</v>
      </c>
      <c r="D26" s="435">
        <v>59300</v>
      </c>
    </row>
    <row r="27" spans="1:4" ht="15.75" customHeight="1">
      <c r="A27" s="292">
        <v>630000</v>
      </c>
      <c r="B27" s="293" t="s">
        <v>337</v>
      </c>
      <c r="C27" s="77">
        <f>C28+C32</f>
        <v>1239800</v>
      </c>
      <c r="D27" s="429">
        <f>D28+D32</f>
        <v>268990</v>
      </c>
    </row>
    <row r="28" spans="1:4" ht="15.75" customHeight="1">
      <c r="A28" s="292">
        <v>631000</v>
      </c>
      <c r="B28" s="299" t="s">
        <v>322</v>
      </c>
      <c r="C28" s="96">
        <f>SUM(C29:C31)</f>
        <v>1101500</v>
      </c>
      <c r="D28" s="434">
        <f>SUM(D29:D31)</f>
        <v>43600</v>
      </c>
    </row>
    <row r="29" spans="1:4" ht="15.75" customHeight="1">
      <c r="A29" s="450">
        <v>631100</v>
      </c>
      <c r="B29" s="391" t="s">
        <v>635</v>
      </c>
      <c r="C29" s="141">
        <f>Org!E453</f>
        <v>0</v>
      </c>
      <c r="D29" s="436">
        <f>Org!F453</f>
        <v>35000</v>
      </c>
    </row>
    <row r="30" spans="1:4" ht="15.75" customHeight="1">
      <c r="A30" s="298">
        <v>631300</v>
      </c>
      <c r="B30" s="186" t="s">
        <v>433</v>
      </c>
      <c r="C30" s="83">
        <f>Org!E578</f>
        <v>1098500</v>
      </c>
      <c r="D30" s="430">
        <f>Org!F578</f>
        <v>5500</v>
      </c>
    </row>
    <row r="31" spans="1:4" ht="28.5" customHeight="1">
      <c r="A31" s="295">
        <v>631900</v>
      </c>
      <c r="B31" s="90" t="s">
        <v>369</v>
      </c>
      <c r="C31" s="109">
        <f>Org!E579</f>
        <v>3000</v>
      </c>
      <c r="D31" s="435">
        <f>Org!F579</f>
        <v>3100</v>
      </c>
    </row>
    <row r="32" spans="1:4" ht="15.75" customHeight="1">
      <c r="A32" s="292">
        <v>638000</v>
      </c>
      <c r="B32" s="101" t="s">
        <v>360</v>
      </c>
      <c r="C32" s="95">
        <f>SUM(C33:C34)</f>
        <v>138300</v>
      </c>
      <c r="D32" s="431">
        <f>SUM(D33:D34)</f>
        <v>225390</v>
      </c>
    </row>
    <row r="33" spans="1:4" ht="25.5">
      <c r="A33" s="295">
        <v>638100</v>
      </c>
      <c r="B33" s="90" t="s">
        <v>328</v>
      </c>
      <c r="C33" s="109">
        <f>SUMIF(Org!$C$10:$D$579,638100,Org!E$10:E$579)</f>
        <v>136000</v>
      </c>
      <c r="D33" s="435">
        <f>SUMIF(Org!$C$10:$D$579,638100,Org!F$10:F$579)</f>
        <v>223000</v>
      </c>
    </row>
    <row r="34" spans="1:4" ht="25.5">
      <c r="A34" s="295">
        <v>638100</v>
      </c>
      <c r="B34" s="103" t="s">
        <v>367</v>
      </c>
      <c r="C34" s="109">
        <f>Org!E581</f>
        <v>2300</v>
      </c>
      <c r="D34" s="435">
        <f>Org!F581</f>
        <v>2390</v>
      </c>
    </row>
    <row r="35" spans="1:4" ht="18" customHeight="1">
      <c r="A35" s="292"/>
      <c r="B35" s="291" t="s">
        <v>432</v>
      </c>
      <c r="C35" s="70">
        <f>SUM(C38:C47)</f>
        <v>575000</v>
      </c>
      <c r="D35" s="428">
        <f>SUM(D38:D47)</f>
        <v>84000</v>
      </c>
    </row>
    <row r="36" spans="1:4" ht="25.5" hidden="1">
      <c r="A36" s="300" t="s">
        <v>295</v>
      </c>
      <c r="B36" s="301" t="s">
        <v>398</v>
      </c>
      <c r="C36" s="296"/>
      <c r="D36" s="432"/>
    </row>
    <row r="37" spans="1:4" ht="38.25" hidden="1">
      <c r="A37" s="302" t="s">
        <v>295</v>
      </c>
      <c r="B37" s="103" t="s">
        <v>385</v>
      </c>
      <c r="C37" s="296"/>
      <c r="D37" s="432"/>
    </row>
    <row r="38" spans="1:4" ht="15" customHeight="1">
      <c r="A38" s="302" t="s">
        <v>295</v>
      </c>
      <c r="B38" s="103" t="s">
        <v>302</v>
      </c>
      <c r="C38" s="296">
        <v>37000</v>
      </c>
      <c r="D38" s="432">
        <v>0</v>
      </c>
    </row>
    <row r="39" spans="1:4" ht="26.25" customHeight="1">
      <c r="A39" s="302" t="s">
        <v>295</v>
      </c>
      <c r="B39" s="103" t="s">
        <v>303</v>
      </c>
      <c r="C39" s="296">
        <v>130000</v>
      </c>
      <c r="D39" s="432">
        <v>78000</v>
      </c>
    </row>
    <row r="40" spans="1:4" ht="12.75" customHeight="1">
      <c r="A40" s="302" t="s">
        <v>295</v>
      </c>
      <c r="B40" s="103" t="s">
        <v>473</v>
      </c>
      <c r="C40" s="441">
        <v>80000</v>
      </c>
      <c r="D40" s="437">
        <v>6000</v>
      </c>
    </row>
    <row r="41" spans="1:4" ht="26.25" customHeight="1" hidden="1">
      <c r="A41" s="302" t="s">
        <v>295</v>
      </c>
      <c r="B41" s="304" t="s">
        <v>464</v>
      </c>
      <c r="C41" s="303">
        <v>0</v>
      </c>
      <c r="D41" s="438"/>
    </row>
    <row r="42" spans="1:4" ht="0.75" customHeight="1" hidden="1">
      <c r="A42" s="302" t="s">
        <v>295</v>
      </c>
      <c r="B42" s="304" t="s">
        <v>426</v>
      </c>
      <c r="C42" s="303"/>
      <c r="D42" s="438"/>
    </row>
    <row r="43" spans="1:4" ht="24.75" customHeight="1" hidden="1">
      <c r="A43" s="302" t="s">
        <v>295</v>
      </c>
      <c r="B43" s="304" t="s">
        <v>470</v>
      </c>
      <c r="C43" s="303">
        <v>0</v>
      </c>
      <c r="D43" s="438"/>
    </row>
    <row r="44" spans="1:4" ht="36.75" customHeight="1">
      <c r="A44" s="302" t="s">
        <v>295</v>
      </c>
      <c r="B44" s="304" t="s">
        <v>510</v>
      </c>
      <c r="C44" s="303">
        <v>210000</v>
      </c>
      <c r="D44" s="438">
        <v>0</v>
      </c>
    </row>
    <row r="45" spans="1:4" ht="30.75" customHeight="1">
      <c r="A45" s="302" t="s">
        <v>295</v>
      </c>
      <c r="B45" s="103" t="s">
        <v>512</v>
      </c>
      <c r="C45" s="296">
        <v>40000</v>
      </c>
      <c r="D45" s="432">
        <v>0</v>
      </c>
    </row>
    <row r="46" spans="1:4" ht="30.75" customHeight="1">
      <c r="A46" s="302" t="s">
        <v>295</v>
      </c>
      <c r="B46" s="103" t="s">
        <v>513</v>
      </c>
      <c r="C46" s="296">
        <v>68000</v>
      </c>
      <c r="D46" s="432">
        <v>0</v>
      </c>
    </row>
    <row r="47" spans="1:4" ht="38.25" customHeight="1">
      <c r="A47" s="302" t="s">
        <v>295</v>
      </c>
      <c r="B47" s="103" t="s">
        <v>520</v>
      </c>
      <c r="C47" s="296">
        <v>10000</v>
      </c>
      <c r="D47" s="432">
        <v>0</v>
      </c>
    </row>
    <row r="48" spans="1:4" s="5" customFormat="1" ht="24.75" customHeight="1" thickBot="1">
      <c r="A48" s="305"/>
      <c r="B48" s="306" t="s">
        <v>338</v>
      </c>
      <c r="C48" s="119">
        <f>C6+C11+C20+C35</f>
        <v>-1601800</v>
      </c>
      <c r="D48" s="439">
        <f>D6+D11+D20+D35</f>
        <v>-912290</v>
      </c>
    </row>
    <row r="49" spans="1:2" ht="18" customHeight="1" thickTop="1">
      <c r="A49" s="26"/>
      <c r="B49" s="24"/>
    </row>
    <row r="50" spans="1:4" ht="18" customHeight="1">
      <c r="A50" s="3"/>
      <c r="B50" s="24"/>
      <c r="C50" s="1"/>
      <c r="D50" s="1"/>
    </row>
    <row r="51" spans="1:4" ht="14.25" customHeight="1">
      <c r="A51" s="3"/>
      <c r="B51" s="24"/>
      <c r="C51" s="1"/>
      <c r="D51" s="1"/>
    </row>
    <row r="52" spans="1:4" ht="16.5" customHeight="1">
      <c r="A52" s="3"/>
      <c r="B52" s="376"/>
      <c r="C52" s="35"/>
      <c r="D52" s="35"/>
    </row>
    <row r="53" ht="16.5" customHeight="1">
      <c r="A53" s="4"/>
    </row>
    <row r="54" spans="1:4" ht="15.75" customHeight="1">
      <c r="A54" s="27"/>
      <c r="B54" s="27"/>
      <c r="D54" s="1"/>
    </row>
    <row r="55" spans="1:4" ht="12.75">
      <c r="A55" s="27"/>
      <c r="B55" s="27"/>
      <c r="D55" s="1"/>
    </row>
    <row r="56" spans="1:4" ht="17.25" customHeight="1">
      <c r="A56" s="27"/>
      <c r="B56" s="27"/>
      <c r="D56" s="1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23.25" customHeight="1">
      <c r="A60" s="27"/>
      <c r="B60" s="27"/>
    </row>
    <row r="61" spans="1:2" ht="16.5" customHeight="1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5" customHeight="1">
      <c r="A64" s="27"/>
      <c r="B64" s="27"/>
    </row>
    <row r="65" spans="1:2" ht="12.75">
      <c r="A65" s="27"/>
      <c r="B65" s="27"/>
    </row>
    <row r="66" spans="1:2" ht="26.25" customHeight="1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5.75" customHeight="1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 customHeight="1">
      <c r="A77" s="27"/>
      <c r="B77" s="27"/>
    </row>
    <row r="78" spans="1:2" ht="12.75">
      <c r="A78" s="27"/>
      <c r="B78" s="27"/>
    </row>
    <row r="79" spans="1:2" s="25" customFormat="1" ht="11.25">
      <c r="A79" s="27"/>
      <c r="B79" s="27"/>
    </row>
    <row r="80" spans="1:2" s="25" customFormat="1" ht="11.25">
      <c r="A80" s="27"/>
      <c r="B80" s="27"/>
    </row>
    <row r="81" spans="1:2" s="25" customFormat="1" ht="11.25">
      <c r="A81" s="27"/>
      <c r="B81" s="27"/>
    </row>
    <row r="82" spans="1:2" s="25" customFormat="1" ht="11.25">
      <c r="A82" s="27"/>
      <c r="B82" s="27"/>
    </row>
    <row r="83" spans="1:2" s="25" customFormat="1" ht="11.25">
      <c r="A83" s="27"/>
      <c r="B83" s="27"/>
    </row>
    <row r="84" spans="1:2" s="25" customFormat="1" ht="11.25">
      <c r="A84" s="27"/>
      <c r="B84" s="27"/>
    </row>
    <row r="85" spans="1:2" s="25" customFormat="1" ht="11.25">
      <c r="A85" s="27"/>
      <c r="B85" s="27"/>
    </row>
    <row r="86" spans="1:2" s="25" customFormat="1" ht="11.25">
      <c r="A86" s="27"/>
      <c r="B86" s="27"/>
    </row>
    <row r="87" spans="1:2" s="25" customFormat="1" ht="11.25">
      <c r="A87" s="27"/>
      <c r="B87" s="27"/>
    </row>
    <row r="88" spans="1:2" s="25" customFormat="1" ht="11.25">
      <c r="A88" s="27"/>
      <c r="B88" s="27"/>
    </row>
    <row r="89" spans="1:2" s="25" customFormat="1" ht="11.25">
      <c r="A89" s="27"/>
      <c r="B89" s="27"/>
    </row>
    <row r="90" spans="1:2" s="25" customFormat="1" ht="11.25">
      <c r="A90" s="27"/>
      <c r="B90" s="27"/>
    </row>
    <row r="91" spans="1:2" s="25" customFormat="1" ht="11.25">
      <c r="A91" s="27"/>
      <c r="B91" s="27"/>
    </row>
    <row r="92" spans="1:2" s="25" customFormat="1" ht="11.25">
      <c r="A92" s="27"/>
      <c r="B92" s="27"/>
    </row>
    <row r="93" spans="1:2" s="25" customFormat="1" ht="11.25">
      <c r="A93" s="27"/>
      <c r="B93" s="27"/>
    </row>
    <row r="94" spans="1:2" s="25" customFormat="1" ht="11.25">
      <c r="A94" s="27"/>
      <c r="B94" s="27"/>
    </row>
    <row r="95" spans="1:2" s="25" customFormat="1" ht="11.25">
      <c r="A95" s="27"/>
      <c r="B95" s="27"/>
    </row>
    <row r="96" spans="1:2" s="25" customFormat="1" ht="11.25">
      <c r="A96" s="27"/>
      <c r="B96" s="27"/>
    </row>
    <row r="97" spans="1:2" s="25" customFormat="1" ht="11.25">
      <c r="A97" s="27"/>
      <c r="B97" s="27"/>
    </row>
    <row r="98" spans="1:2" s="25" customFormat="1" ht="11.25">
      <c r="A98" s="27"/>
      <c r="B98" s="27"/>
    </row>
    <row r="99" spans="1:2" s="25" customFormat="1" ht="11.25">
      <c r="A99" s="27"/>
      <c r="B99" s="27"/>
    </row>
    <row r="100" spans="1:2" s="25" customFormat="1" ht="11.25">
      <c r="A100" s="27"/>
      <c r="B100" s="27"/>
    </row>
    <row r="101" spans="1:2" s="25" customFormat="1" ht="11.25">
      <c r="A101" s="27"/>
      <c r="B101" s="27"/>
    </row>
    <row r="102" spans="1:2" s="25" customFormat="1" ht="11.25">
      <c r="A102" s="27"/>
      <c r="B102" s="27"/>
    </row>
    <row r="103" spans="1:2" s="25" customFormat="1" ht="11.25">
      <c r="A103" s="27"/>
      <c r="B103" s="27"/>
    </row>
    <row r="104" spans="1:2" s="25" customFormat="1" ht="11.25">
      <c r="A104" s="27"/>
      <c r="B104" s="27"/>
    </row>
    <row r="105" spans="1:2" s="25" customFormat="1" ht="11.25">
      <c r="A105" s="27"/>
      <c r="B105" s="27"/>
    </row>
    <row r="106" spans="1:2" s="25" customFormat="1" ht="11.25">
      <c r="A106" s="27"/>
      <c r="B106" s="27"/>
    </row>
    <row r="107" spans="1:2" s="25" customFormat="1" ht="11.25">
      <c r="A107" s="27"/>
      <c r="B107" s="27"/>
    </row>
    <row r="108" spans="1:2" s="25" customFormat="1" ht="11.25">
      <c r="A108" s="27"/>
      <c r="B108" s="27"/>
    </row>
    <row r="109" spans="1:2" s="25" customFormat="1" ht="11.25">
      <c r="A109" s="27"/>
      <c r="B109" s="27"/>
    </row>
    <row r="110" spans="1:2" s="25" customFormat="1" ht="11.25">
      <c r="A110" s="27"/>
      <c r="B110" s="27"/>
    </row>
    <row r="111" spans="1:2" ht="12.75">
      <c r="A111" s="27"/>
      <c r="B111" s="27"/>
    </row>
    <row r="112" spans="1:2" ht="12.75">
      <c r="A112" s="27"/>
      <c r="B112" s="27"/>
    </row>
    <row r="113" spans="1:2" ht="12.75">
      <c r="A113" s="27"/>
      <c r="B113" s="27"/>
    </row>
    <row r="114" spans="1:2" ht="12.75">
      <c r="A114" s="27"/>
      <c r="B114" s="27"/>
    </row>
    <row r="115" spans="1:2" ht="12.75">
      <c r="A115" s="27"/>
      <c r="B115" s="27"/>
    </row>
    <row r="116" spans="1:2" ht="12.75">
      <c r="A116" s="27"/>
      <c r="B116" s="27"/>
    </row>
    <row r="117" spans="1:2" ht="12.75">
      <c r="A117" s="27"/>
      <c r="B117" s="27"/>
    </row>
    <row r="118" spans="1:2" ht="12.75">
      <c r="A118" s="27"/>
      <c r="B118" s="27"/>
    </row>
    <row r="119" spans="1:2" ht="12.75">
      <c r="A119" s="27"/>
      <c r="B119" s="27"/>
    </row>
    <row r="120" spans="1:2" ht="12.75">
      <c r="A120" s="27"/>
      <c r="B120" s="27"/>
    </row>
    <row r="121" spans="1:2" ht="12.75">
      <c r="A121" s="27"/>
      <c r="B121" s="27"/>
    </row>
    <row r="122" spans="1:2" ht="12.75">
      <c r="A122" s="27"/>
      <c r="B122" s="3"/>
    </row>
    <row r="123" spans="1:2" ht="12.75">
      <c r="A123" s="4"/>
      <c r="B123" s="3"/>
    </row>
    <row r="124" spans="1:2" ht="12.75">
      <c r="A124" s="4"/>
      <c r="B124" s="3"/>
    </row>
    <row r="125" spans="1:2" ht="12.75">
      <c r="A125" s="4"/>
      <c r="B125" s="3"/>
    </row>
    <row r="126" spans="1:2" ht="12.75">
      <c r="A126" s="4"/>
      <c r="B126" s="3"/>
    </row>
    <row r="127" spans="1:2" ht="12.75">
      <c r="A127" s="4"/>
      <c r="B127" s="3"/>
    </row>
    <row r="128" spans="1:2" ht="12.75">
      <c r="A128" s="4"/>
      <c r="B128" s="3"/>
    </row>
    <row r="129" spans="1:2" ht="12.75">
      <c r="A129" s="4"/>
      <c r="B129" s="3"/>
    </row>
    <row r="130" spans="1:2" ht="12.75">
      <c r="A130" s="4"/>
      <c r="B130" s="3"/>
    </row>
    <row r="131" spans="1:2" ht="12.75">
      <c r="A131" s="4"/>
      <c r="B131" s="3"/>
    </row>
    <row r="132" spans="1:2" ht="12.75">
      <c r="A132" s="4"/>
      <c r="B132" s="3"/>
    </row>
    <row r="133" spans="1:2" ht="12.75">
      <c r="A133" s="4"/>
      <c r="B133" s="3"/>
    </row>
    <row r="134" spans="1:2" s="25" customFormat="1" ht="12.75">
      <c r="A134" s="4"/>
      <c r="B134" s="3"/>
    </row>
    <row r="135" spans="1:2" s="25" customFormat="1" ht="12.75">
      <c r="A135" s="4"/>
      <c r="B135" s="3"/>
    </row>
    <row r="136" spans="1:2" s="25" customFormat="1" ht="12.75">
      <c r="A136" s="4"/>
      <c r="B136" s="3"/>
    </row>
    <row r="137" spans="1:2" s="25" customFormat="1" ht="12.75">
      <c r="A137" s="4"/>
      <c r="B137" s="3"/>
    </row>
    <row r="138" spans="1:2" s="25" customFormat="1" ht="12.75">
      <c r="A138" s="4"/>
      <c r="B138" s="3"/>
    </row>
    <row r="139" spans="1:2" s="25" customFormat="1" ht="12.75">
      <c r="A139" s="4"/>
      <c r="B139" s="3"/>
    </row>
    <row r="140" spans="1:2" s="25" customFormat="1" ht="12.75">
      <c r="A140" s="4"/>
      <c r="B140" s="3"/>
    </row>
    <row r="141" spans="1:2" s="25" customFormat="1" ht="12.75">
      <c r="A141" s="4"/>
      <c r="B141" s="3"/>
    </row>
    <row r="142" spans="1:2" s="25" customFormat="1" ht="12.75">
      <c r="A142" s="4"/>
      <c r="B142" s="3"/>
    </row>
    <row r="143" spans="1:2" s="25" customFormat="1" ht="12.75">
      <c r="A143" s="4"/>
      <c r="B143" s="3"/>
    </row>
    <row r="144" spans="1:2" s="25" customFormat="1" ht="12.75">
      <c r="A144" s="4"/>
      <c r="B144" s="3"/>
    </row>
    <row r="145" spans="1:2" s="25" customFormat="1" ht="12.75">
      <c r="A145" s="4"/>
      <c r="B145" s="3"/>
    </row>
    <row r="146" spans="1:2" s="25" customFormat="1" ht="12.75">
      <c r="A146" s="4"/>
      <c r="B146" s="3"/>
    </row>
    <row r="147" spans="1:2" s="25" customFormat="1" ht="12.75">
      <c r="A147" s="4"/>
      <c r="B147" s="3"/>
    </row>
    <row r="148" spans="1:2" s="25" customFormat="1" ht="12.75">
      <c r="A148" s="4"/>
      <c r="B148"/>
    </row>
  </sheetData>
  <sheetProtection/>
  <mergeCells count="5">
    <mergeCell ref="A1:D1"/>
    <mergeCell ref="D2:D3"/>
    <mergeCell ref="A2:A3"/>
    <mergeCell ref="B2:B3"/>
    <mergeCell ref="C2:C3"/>
  </mergeCells>
  <printOptions horizontalCentered="1"/>
  <pageMargins left="0.15748031496062992" right="0.15748031496062992" top="0.4330708661417323" bottom="0.4724409448818898" header="0.2755905511811024" footer="0.2362204724409449"/>
  <pageSetup horizontalDpi="600" verticalDpi="600" orientation="landscape" paperSize="9" r:id="rId1"/>
  <headerFooter alignWithMargins="0">
    <oddFooter>&amp;R&amp;P</oddFooter>
  </headerFooter>
  <rowBreaks count="1" manualBreakCount="1">
    <brk id="2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02"/>
  <sheetViews>
    <sheetView tabSelected="1" zoomScale="98" zoomScaleNormal="98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559" sqref="K559"/>
    </sheetView>
  </sheetViews>
  <sheetFormatPr defaultColWidth="9.140625" defaultRowHeight="12.75"/>
  <cols>
    <col min="1" max="1" width="6.8515625" style="0" customWidth="1"/>
    <col min="2" max="2" width="10.00390625" style="0" customWidth="1"/>
    <col min="3" max="3" width="8.28125" style="0" customWidth="1"/>
    <col min="4" max="4" width="61.28125" style="0" customWidth="1"/>
    <col min="5" max="5" width="15.00390625" style="0" customWidth="1"/>
    <col min="6" max="6" width="16.28125" style="0" customWidth="1"/>
    <col min="7" max="7" width="10.8515625" style="0" customWidth="1"/>
    <col min="8" max="8" width="10.140625" style="0" customWidth="1"/>
    <col min="9" max="9" width="1.8515625" style="0" customWidth="1"/>
    <col min="10" max="10" width="13.00390625" style="0" customWidth="1"/>
    <col min="11" max="11" width="11.421875" style="0" customWidth="1"/>
    <col min="12" max="12" width="17.7109375" style="0" customWidth="1"/>
    <col min="13" max="13" width="14.8515625" style="0" customWidth="1"/>
  </cols>
  <sheetData>
    <row r="1" spans="1:9" ht="36" customHeight="1" thickBot="1">
      <c r="A1" s="547" t="s">
        <v>543</v>
      </c>
      <c r="B1" s="547"/>
      <c r="C1" s="547"/>
      <c r="D1" s="547"/>
      <c r="E1" s="547"/>
      <c r="F1" s="547"/>
      <c r="G1" s="547"/>
      <c r="H1" s="547"/>
      <c r="I1" s="6"/>
    </row>
    <row r="2" spans="1:13" ht="21" customHeight="1" thickTop="1">
      <c r="A2" s="490" t="s">
        <v>204</v>
      </c>
      <c r="B2" s="492" t="s">
        <v>3</v>
      </c>
      <c r="C2" s="492"/>
      <c r="D2" s="492" t="s">
        <v>205</v>
      </c>
      <c r="E2" s="543" t="s">
        <v>465</v>
      </c>
      <c r="F2" s="543" t="s">
        <v>548</v>
      </c>
      <c r="G2" s="545" t="s">
        <v>110</v>
      </c>
      <c r="H2" s="548" t="s">
        <v>507</v>
      </c>
      <c r="I2" s="6"/>
      <c r="J2" s="501"/>
      <c r="K2" s="501"/>
      <c r="L2" s="11"/>
      <c r="M2" s="11"/>
    </row>
    <row r="3" spans="1:13" ht="39.75" customHeight="1">
      <c r="A3" s="491"/>
      <c r="B3" s="152" t="s">
        <v>444</v>
      </c>
      <c r="C3" s="152" t="s">
        <v>22</v>
      </c>
      <c r="D3" s="493"/>
      <c r="E3" s="544"/>
      <c r="F3" s="544"/>
      <c r="G3" s="546"/>
      <c r="H3" s="549"/>
      <c r="I3" s="53"/>
      <c r="J3" s="502"/>
      <c r="K3" s="502"/>
      <c r="L3" s="11"/>
      <c r="M3" s="11"/>
    </row>
    <row r="4" spans="1:13" ht="9.75" customHeight="1">
      <c r="A4" s="153">
        <v>1</v>
      </c>
      <c r="B4" s="122">
        <v>2</v>
      </c>
      <c r="C4" s="122">
        <v>3</v>
      </c>
      <c r="D4" s="122">
        <v>4</v>
      </c>
      <c r="E4" s="154">
        <v>5</v>
      </c>
      <c r="F4" s="154">
        <v>6</v>
      </c>
      <c r="G4" s="154" t="s">
        <v>549</v>
      </c>
      <c r="H4" s="124">
        <v>8</v>
      </c>
      <c r="I4" s="6"/>
      <c r="J4" s="502"/>
      <c r="K4" s="502"/>
      <c r="L4" s="11"/>
      <c r="M4" s="11"/>
    </row>
    <row r="5" spans="1:13" ht="9.75" customHeight="1">
      <c r="A5" s="526"/>
      <c r="B5" s="527"/>
      <c r="C5" s="521" t="s">
        <v>652</v>
      </c>
      <c r="D5" s="540"/>
      <c r="E5" s="156"/>
      <c r="F5" s="156"/>
      <c r="G5" s="156"/>
      <c r="H5" s="157"/>
      <c r="I5" s="6"/>
      <c r="J5" s="502"/>
      <c r="K5" s="502"/>
      <c r="L5" s="11"/>
      <c r="M5" s="11"/>
    </row>
    <row r="6" spans="1:13" ht="9.75" customHeight="1">
      <c r="A6" s="526"/>
      <c r="B6" s="527"/>
      <c r="C6" s="521"/>
      <c r="D6" s="540"/>
      <c r="E6" s="158"/>
      <c r="F6" s="158"/>
      <c r="G6" s="158"/>
      <c r="H6" s="159"/>
      <c r="I6" s="6"/>
      <c r="J6" s="502"/>
      <c r="K6" s="502"/>
      <c r="L6" s="11"/>
      <c r="M6" s="11"/>
    </row>
    <row r="7" spans="1:13" ht="24" customHeight="1">
      <c r="A7" s="526"/>
      <c r="B7" s="527"/>
      <c r="C7" s="521"/>
      <c r="D7" s="540"/>
      <c r="E7" s="160"/>
      <c r="F7" s="160"/>
      <c r="G7" s="160"/>
      <c r="H7" s="161"/>
      <c r="I7" s="6"/>
      <c r="J7" s="502"/>
      <c r="K7" s="502"/>
      <c r="L7" s="11"/>
      <c r="M7" s="11"/>
    </row>
    <row r="8" spans="1:13" ht="15" customHeight="1">
      <c r="A8" s="148"/>
      <c r="B8" s="67">
        <v>411000</v>
      </c>
      <c r="C8" s="81"/>
      <c r="D8" s="162" t="s">
        <v>119</v>
      </c>
      <c r="E8" s="163">
        <f>SUM(E9)</f>
        <v>1500</v>
      </c>
      <c r="F8" s="163">
        <f>SUM(F9)</f>
        <v>1500</v>
      </c>
      <c r="G8" s="164">
        <f aca="true" t="shared" si="0" ref="G8:G20">F8/E8*100</f>
        <v>100</v>
      </c>
      <c r="H8" s="165">
        <f aca="true" t="shared" si="1" ref="H8:H20">F8/$F$587*100</f>
        <v>0.006756756756756757</v>
      </c>
      <c r="I8" s="6"/>
      <c r="J8" s="473"/>
      <c r="K8" s="473"/>
      <c r="L8" s="11"/>
      <c r="M8" s="11"/>
    </row>
    <row r="9" spans="1:13" ht="13.5" customHeight="1">
      <c r="A9" s="148" t="s">
        <v>23</v>
      </c>
      <c r="B9" s="115"/>
      <c r="C9" s="166">
        <v>411200</v>
      </c>
      <c r="D9" s="90" t="s">
        <v>342</v>
      </c>
      <c r="E9" s="353">
        <v>1500</v>
      </c>
      <c r="F9" s="353">
        <v>1500</v>
      </c>
      <c r="G9" s="167">
        <f t="shared" si="0"/>
        <v>100</v>
      </c>
      <c r="H9" s="85">
        <f t="shared" si="1"/>
        <v>0.006756756756756757</v>
      </c>
      <c r="I9" s="6"/>
      <c r="J9" s="473"/>
      <c r="K9" s="473"/>
      <c r="L9" s="11"/>
      <c r="M9" s="11"/>
    </row>
    <row r="10" spans="1:13" ht="14.25" customHeight="1">
      <c r="A10" s="148"/>
      <c r="B10" s="67">
        <v>412000</v>
      </c>
      <c r="C10" s="81"/>
      <c r="D10" s="162" t="s">
        <v>120</v>
      </c>
      <c r="E10" s="168">
        <f>SUM(E11:E16)</f>
        <v>267500</v>
      </c>
      <c r="F10" s="168">
        <f>SUM(F11:F16)</f>
        <v>312500</v>
      </c>
      <c r="G10" s="164">
        <f t="shared" si="0"/>
        <v>116.82242990654206</v>
      </c>
      <c r="H10" s="169">
        <f t="shared" si="1"/>
        <v>1.4076576576576576</v>
      </c>
      <c r="I10" s="6"/>
      <c r="J10" s="473"/>
      <c r="K10" s="473"/>
      <c r="L10" s="11"/>
      <c r="M10" s="11"/>
    </row>
    <row r="11" spans="1:13" ht="12.75" customHeight="1">
      <c r="A11" s="148" t="s">
        <v>23</v>
      </c>
      <c r="B11" s="61"/>
      <c r="C11" s="81">
        <v>412900</v>
      </c>
      <c r="D11" s="103" t="s">
        <v>0</v>
      </c>
      <c r="E11" s="216">
        <v>8000</v>
      </c>
      <c r="F11" s="216">
        <v>8000</v>
      </c>
      <c r="G11" s="167">
        <f t="shared" si="0"/>
        <v>100</v>
      </c>
      <c r="H11" s="85">
        <f t="shared" si="1"/>
        <v>0.036036036036036036</v>
      </c>
      <c r="I11" s="10"/>
      <c r="J11" s="473"/>
      <c r="K11" s="473"/>
      <c r="L11" s="11"/>
      <c r="M11" s="11"/>
    </row>
    <row r="12" spans="1:13" ht="12.75" customHeight="1">
      <c r="A12" s="148" t="s">
        <v>23</v>
      </c>
      <c r="B12" s="61"/>
      <c r="C12" s="81">
        <v>412900</v>
      </c>
      <c r="D12" s="103" t="s">
        <v>206</v>
      </c>
      <c r="E12" s="173">
        <v>1500</v>
      </c>
      <c r="F12" s="173">
        <v>1500</v>
      </c>
      <c r="G12" s="167">
        <f t="shared" si="0"/>
        <v>100</v>
      </c>
      <c r="H12" s="85">
        <f t="shared" si="1"/>
        <v>0.006756756756756757</v>
      </c>
      <c r="I12" s="10"/>
      <c r="J12" s="473"/>
      <c r="K12" s="473"/>
      <c r="L12" s="11"/>
      <c r="M12" s="11"/>
    </row>
    <row r="13" spans="1:13" ht="12.75" customHeight="1">
      <c r="A13" s="150" t="s">
        <v>23</v>
      </c>
      <c r="B13" s="61"/>
      <c r="C13" s="112">
        <v>412900</v>
      </c>
      <c r="D13" s="108" t="s">
        <v>94</v>
      </c>
      <c r="E13" s="173">
        <v>236000</v>
      </c>
      <c r="F13" s="173">
        <v>244000</v>
      </c>
      <c r="G13" s="167">
        <f t="shared" si="0"/>
        <v>103.38983050847457</v>
      </c>
      <c r="H13" s="85">
        <f t="shared" si="1"/>
        <v>1.0990990990990992</v>
      </c>
      <c r="I13" s="10"/>
      <c r="J13" s="473"/>
      <c r="K13" s="473"/>
      <c r="L13" s="11"/>
      <c r="M13" s="11"/>
    </row>
    <row r="14" spans="1:13" ht="12.75" customHeight="1">
      <c r="A14" s="150" t="s">
        <v>23</v>
      </c>
      <c r="B14" s="61"/>
      <c r="C14" s="112">
        <v>412900</v>
      </c>
      <c r="D14" s="108" t="s">
        <v>182</v>
      </c>
      <c r="E14" s="173">
        <v>4000</v>
      </c>
      <c r="F14" s="173">
        <v>4000</v>
      </c>
      <c r="G14" s="167">
        <f t="shared" si="0"/>
        <v>100</v>
      </c>
      <c r="H14" s="85">
        <f t="shared" si="1"/>
        <v>0.018018018018018018</v>
      </c>
      <c r="I14" s="10"/>
      <c r="J14" s="473"/>
      <c r="K14" s="473"/>
      <c r="L14" s="11"/>
      <c r="M14" s="11"/>
    </row>
    <row r="15" spans="1:13" ht="12.75" customHeight="1">
      <c r="A15" s="150" t="s">
        <v>25</v>
      </c>
      <c r="B15" s="61"/>
      <c r="C15" s="112">
        <v>412900</v>
      </c>
      <c r="D15" s="108" t="s">
        <v>211</v>
      </c>
      <c r="E15" s="171">
        <v>15000</v>
      </c>
      <c r="F15" s="171">
        <v>55000</v>
      </c>
      <c r="G15" s="167">
        <f t="shared" si="0"/>
        <v>366.66666666666663</v>
      </c>
      <c r="H15" s="85">
        <f t="shared" si="1"/>
        <v>0.24774774774774774</v>
      </c>
      <c r="I15" s="10"/>
      <c r="J15" s="473"/>
      <c r="K15" s="473"/>
      <c r="L15" s="11"/>
      <c r="M15" s="11"/>
    </row>
    <row r="16" spans="1:13" ht="12.75" customHeight="1">
      <c r="A16" s="150" t="s">
        <v>23</v>
      </c>
      <c r="B16" s="61"/>
      <c r="C16" s="112">
        <v>412900</v>
      </c>
      <c r="D16" s="108" t="s">
        <v>129</v>
      </c>
      <c r="E16" s="171">
        <v>3000</v>
      </c>
      <c r="F16" s="167">
        <v>0</v>
      </c>
      <c r="G16" s="167">
        <f t="shared" si="0"/>
        <v>0</v>
      </c>
      <c r="H16" s="85">
        <f t="shared" si="1"/>
        <v>0</v>
      </c>
      <c r="I16" s="10"/>
      <c r="J16" s="473"/>
      <c r="K16" s="473"/>
      <c r="L16" s="11"/>
      <c r="M16" s="11"/>
    </row>
    <row r="17" spans="1:13" ht="14.25" customHeight="1">
      <c r="A17" s="148"/>
      <c r="B17" s="67">
        <v>415000</v>
      </c>
      <c r="C17" s="81"/>
      <c r="D17" s="174" t="s">
        <v>134</v>
      </c>
      <c r="E17" s="168">
        <f>SUM(E18:E19)</f>
        <v>22000</v>
      </c>
      <c r="F17" s="168">
        <f>SUM(F18:F19)</f>
        <v>28000</v>
      </c>
      <c r="G17" s="164">
        <f t="shared" si="0"/>
        <v>127.27272727272727</v>
      </c>
      <c r="H17" s="169">
        <f t="shared" si="1"/>
        <v>0.12612612612612611</v>
      </c>
      <c r="I17" s="10"/>
      <c r="J17" s="473"/>
      <c r="K17" s="473"/>
      <c r="L17" s="11"/>
      <c r="M17" s="11"/>
    </row>
    <row r="18" spans="1:13" ht="12" customHeight="1">
      <c r="A18" s="148" t="s">
        <v>25</v>
      </c>
      <c r="B18" s="61"/>
      <c r="C18" s="81">
        <v>415200</v>
      </c>
      <c r="D18" s="103" t="s">
        <v>210</v>
      </c>
      <c r="E18" s="173">
        <v>22000</v>
      </c>
      <c r="F18" s="173">
        <v>28000</v>
      </c>
      <c r="G18" s="167">
        <f t="shared" si="0"/>
        <v>127.27272727272727</v>
      </c>
      <c r="H18" s="85">
        <f t="shared" si="1"/>
        <v>0.12612612612612611</v>
      </c>
      <c r="I18" s="10"/>
      <c r="J18" s="473"/>
      <c r="K18" s="473"/>
      <c r="L18" s="11"/>
      <c r="M18" s="11"/>
    </row>
    <row r="19" spans="1:13" ht="15.75" customHeight="1">
      <c r="A19" s="148" t="s">
        <v>25</v>
      </c>
      <c r="B19" s="61"/>
      <c r="C19" s="226">
        <v>415200</v>
      </c>
      <c r="D19" s="103" t="s">
        <v>353</v>
      </c>
      <c r="E19" s="171">
        <v>0</v>
      </c>
      <c r="F19" s="171">
        <v>0</v>
      </c>
      <c r="G19" s="167">
        <v>0</v>
      </c>
      <c r="H19" s="85">
        <f t="shared" si="1"/>
        <v>0</v>
      </c>
      <c r="I19" s="10"/>
      <c r="J19" s="473"/>
      <c r="K19" s="474"/>
      <c r="L19" s="11"/>
      <c r="M19" s="11"/>
    </row>
    <row r="20" spans="1:13" ht="27" customHeight="1">
      <c r="A20" s="526"/>
      <c r="B20" s="527"/>
      <c r="C20" s="517" t="s">
        <v>78</v>
      </c>
      <c r="D20" s="517"/>
      <c r="E20" s="175">
        <f>E8+E10+E17</f>
        <v>291000</v>
      </c>
      <c r="F20" s="175">
        <f>F8+F10+F17</f>
        <v>342000</v>
      </c>
      <c r="G20" s="451">
        <f t="shared" si="0"/>
        <v>117.5257731958763</v>
      </c>
      <c r="H20" s="177">
        <f t="shared" si="1"/>
        <v>1.5405405405405406</v>
      </c>
      <c r="I20" s="10"/>
      <c r="J20" s="474"/>
      <c r="K20" s="516"/>
      <c r="L20" s="12"/>
      <c r="M20" s="11"/>
    </row>
    <row r="21" spans="1:13" ht="9.75" customHeight="1">
      <c r="A21" s="526"/>
      <c r="B21" s="527"/>
      <c r="C21" s="521" t="s">
        <v>651</v>
      </c>
      <c r="D21" s="540"/>
      <c r="E21" s="178"/>
      <c r="F21" s="178"/>
      <c r="G21" s="178"/>
      <c r="H21" s="179"/>
      <c r="I21" s="10"/>
      <c r="J21" s="516"/>
      <c r="K21" s="516"/>
      <c r="L21" s="11"/>
      <c r="M21" s="11"/>
    </row>
    <row r="22" spans="1:13" ht="9.75" customHeight="1">
      <c r="A22" s="526"/>
      <c r="B22" s="527"/>
      <c r="C22" s="521"/>
      <c r="D22" s="540"/>
      <c r="E22" s="180"/>
      <c r="F22" s="180"/>
      <c r="G22" s="180"/>
      <c r="H22" s="181"/>
      <c r="I22" s="10"/>
      <c r="J22" s="516"/>
      <c r="K22" s="516"/>
      <c r="L22" s="11"/>
      <c r="M22" s="11"/>
    </row>
    <row r="23" spans="1:13" ht="25.5" customHeight="1">
      <c r="A23" s="526"/>
      <c r="B23" s="527"/>
      <c r="C23" s="521"/>
      <c r="D23" s="540"/>
      <c r="E23" s="182"/>
      <c r="F23" s="182"/>
      <c r="G23" s="182"/>
      <c r="H23" s="183"/>
      <c r="I23" s="10"/>
      <c r="J23" s="516"/>
      <c r="K23" s="473"/>
      <c r="L23" s="11"/>
      <c r="M23" s="11"/>
    </row>
    <row r="24" spans="1:13" ht="15" customHeight="1">
      <c r="A24" s="148"/>
      <c r="B24" s="67">
        <v>411000</v>
      </c>
      <c r="C24" s="81"/>
      <c r="D24" s="162" t="s">
        <v>119</v>
      </c>
      <c r="E24" s="163">
        <f>SUM(E25)</f>
        <v>2400</v>
      </c>
      <c r="F24" s="163">
        <f>SUM(F25)</f>
        <v>2400</v>
      </c>
      <c r="G24" s="163">
        <f aca="true" t="shared" si="2" ref="G24:G39">F24/E24*100</f>
        <v>100</v>
      </c>
      <c r="H24" s="165">
        <f aca="true" t="shared" si="3" ref="H24:H39">F24/$F$587*100</f>
        <v>0.010810810810810811</v>
      </c>
      <c r="I24" s="10"/>
      <c r="J24" s="473"/>
      <c r="K24" s="473"/>
      <c r="L24" s="11"/>
      <c r="M24" s="11"/>
    </row>
    <row r="25" spans="1:13" ht="12.75">
      <c r="A25" s="148" t="s">
        <v>23</v>
      </c>
      <c r="B25" s="115"/>
      <c r="C25" s="166">
        <v>411200</v>
      </c>
      <c r="D25" s="90" t="s">
        <v>342</v>
      </c>
      <c r="E25" s="184">
        <v>2400</v>
      </c>
      <c r="F25" s="184">
        <v>2400</v>
      </c>
      <c r="G25" s="185">
        <f t="shared" si="2"/>
        <v>100</v>
      </c>
      <c r="H25" s="85">
        <f t="shared" si="3"/>
        <v>0.010810810810810811</v>
      </c>
      <c r="I25" s="10"/>
      <c r="J25" s="473"/>
      <c r="K25" s="473"/>
      <c r="L25" s="11"/>
      <c r="M25" s="11"/>
    </row>
    <row r="26" spans="1:13" ht="14.25" customHeight="1">
      <c r="A26" s="148"/>
      <c r="B26" s="67">
        <v>412000</v>
      </c>
      <c r="C26" s="81"/>
      <c r="D26" s="162" t="s">
        <v>120</v>
      </c>
      <c r="E26" s="168">
        <f>SUM(E27:E36)</f>
        <v>83300</v>
      </c>
      <c r="F26" s="168">
        <f>SUM(F27:F36)</f>
        <v>77350</v>
      </c>
      <c r="G26" s="163">
        <f t="shared" si="2"/>
        <v>92.85714285714286</v>
      </c>
      <c r="H26" s="169">
        <f t="shared" si="3"/>
        <v>0.3484234234234234</v>
      </c>
      <c r="I26" s="10"/>
      <c r="J26" s="473"/>
      <c r="K26" s="473"/>
      <c r="L26" s="11"/>
      <c r="M26" s="11"/>
    </row>
    <row r="27" spans="1:13" ht="12.75" customHeight="1">
      <c r="A27" s="148" t="s">
        <v>23</v>
      </c>
      <c r="B27" s="151"/>
      <c r="C27" s="81">
        <v>412900</v>
      </c>
      <c r="D27" s="103" t="s">
        <v>0</v>
      </c>
      <c r="E27" s="173">
        <v>17000</v>
      </c>
      <c r="F27" s="173">
        <v>17000</v>
      </c>
      <c r="G27" s="185">
        <f t="shared" si="2"/>
        <v>100</v>
      </c>
      <c r="H27" s="85">
        <f t="shared" si="3"/>
        <v>0.07657657657657657</v>
      </c>
      <c r="I27" s="10"/>
      <c r="J27" s="473"/>
      <c r="K27" s="473"/>
      <c r="L27" s="11"/>
      <c r="M27" s="11"/>
    </row>
    <row r="28" spans="1:13" ht="12.75" customHeight="1" hidden="1">
      <c r="A28" s="148" t="s">
        <v>23</v>
      </c>
      <c r="B28" s="151"/>
      <c r="C28" s="81">
        <v>412900</v>
      </c>
      <c r="D28" s="103" t="s">
        <v>482</v>
      </c>
      <c r="E28" s="173"/>
      <c r="F28" s="173"/>
      <c r="G28" s="185" t="e">
        <f t="shared" si="2"/>
        <v>#DIV/0!</v>
      </c>
      <c r="H28" s="85">
        <f t="shared" si="3"/>
        <v>0</v>
      </c>
      <c r="I28" s="10"/>
      <c r="J28" s="473"/>
      <c r="K28" s="473"/>
      <c r="L28" s="11"/>
      <c r="M28" s="11"/>
    </row>
    <row r="29" spans="1:13" ht="12.75" customHeight="1">
      <c r="A29" s="148" t="s">
        <v>23</v>
      </c>
      <c r="B29" s="151"/>
      <c r="C29" s="112">
        <v>412900</v>
      </c>
      <c r="D29" s="108" t="s">
        <v>95</v>
      </c>
      <c r="E29" s="173">
        <v>6200</v>
      </c>
      <c r="F29" s="173">
        <v>6200</v>
      </c>
      <c r="G29" s="185">
        <f t="shared" si="2"/>
        <v>100</v>
      </c>
      <c r="H29" s="85">
        <f t="shared" si="3"/>
        <v>0.027927927927927927</v>
      </c>
      <c r="J29" s="473"/>
      <c r="K29" s="473"/>
      <c r="L29" s="11"/>
      <c r="M29" s="11"/>
    </row>
    <row r="30" spans="1:13" ht="12.75" customHeight="1" hidden="1">
      <c r="A30" s="148" t="s">
        <v>23</v>
      </c>
      <c r="B30" s="67"/>
      <c r="C30" s="92">
        <v>412900</v>
      </c>
      <c r="D30" s="186" t="s">
        <v>187</v>
      </c>
      <c r="E30" s="173"/>
      <c r="F30" s="173"/>
      <c r="G30" s="185" t="e">
        <f t="shared" si="2"/>
        <v>#DIV/0!</v>
      </c>
      <c r="H30" s="85">
        <f t="shared" si="3"/>
        <v>0</v>
      </c>
      <c r="I30" s="6"/>
      <c r="J30" s="473"/>
      <c r="K30" s="473"/>
      <c r="L30" s="11"/>
      <c r="M30" s="11"/>
    </row>
    <row r="31" spans="1:13" ht="12" customHeight="1">
      <c r="A31" s="150" t="s">
        <v>23</v>
      </c>
      <c r="B31" s="151"/>
      <c r="C31" s="92">
        <v>412900</v>
      </c>
      <c r="D31" s="108" t="s">
        <v>239</v>
      </c>
      <c r="E31" s="173">
        <v>7000</v>
      </c>
      <c r="F31" s="173">
        <v>7000</v>
      </c>
      <c r="G31" s="185">
        <f t="shared" si="2"/>
        <v>100</v>
      </c>
      <c r="H31" s="85">
        <f t="shared" si="3"/>
        <v>0.03153153153153153</v>
      </c>
      <c r="I31" s="6"/>
      <c r="J31" s="473"/>
      <c r="K31" s="473"/>
      <c r="L31" s="11"/>
      <c r="M31" s="11"/>
    </row>
    <row r="32" spans="1:13" ht="1.5" customHeight="1" hidden="1">
      <c r="A32" s="150" t="s">
        <v>23</v>
      </c>
      <c r="B32" s="151"/>
      <c r="C32" s="92">
        <v>412900</v>
      </c>
      <c r="D32" s="108" t="s">
        <v>129</v>
      </c>
      <c r="E32" s="173"/>
      <c r="F32" s="173"/>
      <c r="G32" s="185" t="e">
        <f t="shared" si="2"/>
        <v>#DIV/0!</v>
      </c>
      <c r="H32" s="85">
        <f t="shared" si="3"/>
        <v>0</v>
      </c>
      <c r="I32" s="6"/>
      <c r="J32" s="473"/>
      <c r="K32" s="473"/>
      <c r="L32" s="11"/>
      <c r="M32" s="11"/>
    </row>
    <row r="33" spans="1:13" ht="12.75">
      <c r="A33" s="150" t="s">
        <v>23</v>
      </c>
      <c r="B33" s="151"/>
      <c r="C33" s="92">
        <v>412900</v>
      </c>
      <c r="D33" s="108" t="s">
        <v>293</v>
      </c>
      <c r="E33" s="173">
        <v>3000</v>
      </c>
      <c r="F33" s="173">
        <v>2500</v>
      </c>
      <c r="G33" s="185">
        <f t="shared" si="2"/>
        <v>83.33333333333334</v>
      </c>
      <c r="H33" s="85">
        <f t="shared" si="3"/>
        <v>0.01126126126126126</v>
      </c>
      <c r="I33" s="6"/>
      <c r="J33" s="473"/>
      <c r="K33" s="473"/>
      <c r="L33" s="11"/>
      <c r="M33" s="11"/>
    </row>
    <row r="34" spans="1:13" ht="25.5" customHeight="1" hidden="1">
      <c r="A34" s="150" t="s">
        <v>23</v>
      </c>
      <c r="B34" s="151"/>
      <c r="C34" s="92">
        <v>412900</v>
      </c>
      <c r="D34" s="108" t="s">
        <v>483</v>
      </c>
      <c r="E34" s="171"/>
      <c r="F34" s="171"/>
      <c r="G34" s="185" t="e">
        <f t="shared" si="2"/>
        <v>#DIV/0!</v>
      </c>
      <c r="H34" s="85">
        <f t="shared" si="3"/>
        <v>0</v>
      </c>
      <c r="I34" s="6"/>
      <c r="J34" s="473"/>
      <c r="K34" s="473"/>
      <c r="L34" s="11"/>
      <c r="M34" s="11"/>
    </row>
    <row r="35" spans="1:13" ht="16.5" customHeight="1">
      <c r="A35" s="150" t="s">
        <v>23</v>
      </c>
      <c r="B35" s="151"/>
      <c r="C35" s="92">
        <v>412900</v>
      </c>
      <c r="D35" s="108" t="s">
        <v>396</v>
      </c>
      <c r="E35" s="173">
        <v>50000</v>
      </c>
      <c r="F35" s="173">
        <v>44500</v>
      </c>
      <c r="G35" s="185">
        <f t="shared" si="2"/>
        <v>89</v>
      </c>
      <c r="H35" s="85">
        <f t="shared" si="3"/>
        <v>0.20045045045045043</v>
      </c>
      <c r="I35" s="6"/>
      <c r="J35" s="473"/>
      <c r="K35" s="473"/>
      <c r="L35" s="11"/>
      <c r="M35" s="11"/>
    </row>
    <row r="36" spans="1:13" ht="14.25" customHeight="1">
      <c r="A36" s="150" t="s">
        <v>23</v>
      </c>
      <c r="B36" s="151"/>
      <c r="C36" s="92">
        <v>412900</v>
      </c>
      <c r="D36" s="108" t="s">
        <v>511</v>
      </c>
      <c r="E36" s="173">
        <v>100</v>
      </c>
      <c r="F36" s="173">
        <v>150</v>
      </c>
      <c r="G36" s="185">
        <f t="shared" si="2"/>
        <v>150</v>
      </c>
      <c r="H36" s="85">
        <f t="shared" si="3"/>
        <v>0.0006756756756756757</v>
      </c>
      <c r="I36" s="6"/>
      <c r="J36" s="473"/>
      <c r="K36" s="473"/>
      <c r="L36" s="11"/>
      <c r="M36" s="11"/>
    </row>
    <row r="37" spans="1:13" ht="13.5" customHeight="1">
      <c r="A37" s="150"/>
      <c r="B37" s="67">
        <v>416000</v>
      </c>
      <c r="C37" s="81"/>
      <c r="D37" s="162" t="s">
        <v>1</v>
      </c>
      <c r="E37" s="168">
        <f>SUM(E38)</f>
        <v>55000</v>
      </c>
      <c r="F37" s="168">
        <f>SUM(F38)</f>
        <v>0</v>
      </c>
      <c r="G37" s="163">
        <f t="shared" si="2"/>
        <v>0</v>
      </c>
      <c r="H37" s="169">
        <f t="shared" si="3"/>
        <v>0</v>
      </c>
      <c r="I37" s="6"/>
      <c r="J37" s="473"/>
      <c r="K37" s="473"/>
      <c r="L37" s="11"/>
      <c r="M37" s="11"/>
    </row>
    <row r="38" spans="1:13" ht="15" customHeight="1">
      <c r="A38" s="150" t="s">
        <v>28</v>
      </c>
      <c r="B38" s="151"/>
      <c r="C38" s="92">
        <v>416100</v>
      </c>
      <c r="D38" s="108" t="s">
        <v>508</v>
      </c>
      <c r="E38" s="173">
        <v>55000</v>
      </c>
      <c r="F38" s="173">
        <v>0</v>
      </c>
      <c r="G38" s="185">
        <f t="shared" si="2"/>
        <v>0</v>
      </c>
      <c r="H38" s="85">
        <f t="shared" si="3"/>
        <v>0</v>
      </c>
      <c r="I38" s="6"/>
      <c r="J38" s="473"/>
      <c r="K38" s="473"/>
      <c r="L38" s="11"/>
      <c r="M38" s="11"/>
    </row>
    <row r="39" spans="1:13" ht="27" customHeight="1">
      <c r="A39" s="526"/>
      <c r="B39" s="527"/>
      <c r="C39" s="517" t="s">
        <v>79</v>
      </c>
      <c r="D39" s="517"/>
      <c r="E39" s="187">
        <f>E24+E26+E37</f>
        <v>140700</v>
      </c>
      <c r="F39" s="187">
        <f>F24+F26+F37</f>
        <v>79750</v>
      </c>
      <c r="G39" s="398">
        <f t="shared" si="2"/>
        <v>56.68088130774698</v>
      </c>
      <c r="H39" s="188">
        <f t="shared" si="3"/>
        <v>0.35923423423423423</v>
      </c>
      <c r="I39" s="6"/>
      <c r="J39" s="473"/>
      <c r="K39" s="516"/>
      <c r="L39" s="12"/>
      <c r="M39" s="11"/>
    </row>
    <row r="40" spans="1:13" ht="12.75" customHeight="1">
      <c r="A40" s="189"/>
      <c r="B40" s="190"/>
      <c r="C40" s="550" t="s">
        <v>650</v>
      </c>
      <c r="D40" s="551"/>
      <c r="E40" s="191"/>
      <c r="F40" s="191"/>
      <c r="G40" s="191"/>
      <c r="H40" s="192"/>
      <c r="I40" s="6"/>
      <c r="J40" s="516"/>
      <c r="K40" s="516"/>
      <c r="L40" s="11"/>
      <c r="M40" s="11"/>
    </row>
    <row r="41" spans="1:13" ht="12.75">
      <c r="A41" s="193"/>
      <c r="B41" s="194"/>
      <c r="C41" s="552"/>
      <c r="D41" s="553"/>
      <c r="E41" s="195"/>
      <c r="F41" s="195"/>
      <c r="G41" s="195"/>
      <c r="H41" s="196"/>
      <c r="I41" s="6"/>
      <c r="J41" s="516"/>
      <c r="K41" s="516"/>
      <c r="L41" s="11"/>
      <c r="M41" s="11"/>
    </row>
    <row r="42" spans="1:13" ht="17.25" customHeight="1">
      <c r="A42" s="197"/>
      <c r="B42" s="198"/>
      <c r="C42" s="554"/>
      <c r="D42" s="555"/>
      <c r="E42" s="199"/>
      <c r="F42" s="199"/>
      <c r="G42" s="199"/>
      <c r="H42" s="200"/>
      <c r="I42" s="6"/>
      <c r="J42" s="516"/>
      <c r="K42" s="473"/>
      <c r="L42" s="11"/>
      <c r="M42" s="11"/>
    </row>
    <row r="43" spans="1:13" ht="12.75">
      <c r="A43" s="148"/>
      <c r="B43" s="67">
        <v>412000</v>
      </c>
      <c r="C43" s="81"/>
      <c r="D43" s="162" t="s">
        <v>120</v>
      </c>
      <c r="E43" s="164">
        <f>SUM(E44:E49)</f>
        <v>22400</v>
      </c>
      <c r="F43" s="164">
        <f>SUM(F44:F49)</f>
        <v>23750</v>
      </c>
      <c r="G43" s="164">
        <f aca="true" t="shared" si="4" ref="G43:G59">F43/E43*100</f>
        <v>106.02678571428572</v>
      </c>
      <c r="H43" s="201">
        <f aca="true" t="shared" si="5" ref="H43:H59">F43/$F$587*100</f>
        <v>0.10698198198198197</v>
      </c>
      <c r="I43" s="6"/>
      <c r="J43" s="473"/>
      <c r="K43" s="473"/>
      <c r="L43" s="11"/>
      <c r="M43" s="11"/>
    </row>
    <row r="44" spans="1:13" ht="25.5">
      <c r="A44" s="148" t="s">
        <v>54</v>
      </c>
      <c r="B44" s="67"/>
      <c r="C44" s="81">
        <v>412200</v>
      </c>
      <c r="D44" s="103" t="s">
        <v>122</v>
      </c>
      <c r="E44" s="171">
        <v>13000</v>
      </c>
      <c r="F44" s="171">
        <v>13500</v>
      </c>
      <c r="G44" s="167">
        <f t="shared" si="4"/>
        <v>103.84615384615385</v>
      </c>
      <c r="H44" s="202">
        <f t="shared" si="5"/>
        <v>0.06081081081081081</v>
      </c>
      <c r="I44" s="6"/>
      <c r="J44" s="473"/>
      <c r="K44" s="473"/>
      <c r="L44" s="11"/>
      <c r="M44" s="11"/>
    </row>
    <row r="45" spans="1:13" ht="12.75">
      <c r="A45" s="148" t="s">
        <v>54</v>
      </c>
      <c r="B45" s="67"/>
      <c r="C45" s="81">
        <v>412300</v>
      </c>
      <c r="D45" s="151" t="s">
        <v>123</v>
      </c>
      <c r="E45" s="171">
        <v>1000</v>
      </c>
      <c r="F45" s="171">
        <v>1000</v>
      </c>
      <c r="G45" s="167">
        <f t="shared" si="4"/>
        <v>100</v>
      </c>
      <c r="H45" s="202">
        <f t="shared" si="5"/>
        <v>0.0045045045045045045</v>
      </c>
      <c r="I45" s="6"/>
      <c r="J45" s="473"/>
      <c r="K45" s="473"/>
      <c r="L45" s="11"/>
      <c r="M45" s="11"/>
    </row>
    <row r="46" spans="1:13" ht="12.75">
      <c r="A46" s="148" t="s">
        <v>54</v>
      </c>
      <c r="B46" s="67"/>
      <c r="C46" s="81">
        <v>412400</v>
      </c>
      <c r="D46" s="103" t="s">
        <v>124</v>
      </c>
      <c r="E46" s="171">
        <v>2000</v>
      </c>
      <c r="F46" s="171">
        <v>2000</v>
      </c>
      <c r="G46" s="167">
        <f t="shared" si="4"/>
        <v>100</v>
      </c>
      <c r="H46" s="202">
        <f t="shared" si="5"/>
        <v>0.009009009009009009</v>
      </c>
      <c r="I46" s="6"/>
      <c r="J46" s="473"/>
      <c r="K46" s="473"/>
      <c r="L46" s="11"/>
      <c r="M46" s="11"/>
    </row>
    <row r="47" spans="1:13" ht="12.75">
      <c r="A47" s="148" t="s">
        <v>54</v>
      </c>
      <c r="B47" s="67"/>
      <c r="C47" s="151">
        <v>412700</v>
      </c>
      <c r="D47" s="151" t="s">
        <v>127</v>
      </c>
      <c r="E47" s="171">
        <v>3500</v>
      </c>
      <c r="F47" s="171">
        <v>3500</v>
      </c>
      <c r="G47" s="167">
        <f t="shared" si="4"/>
        <v>100</v>
      </c>
      <c r="H47" s="202">
        <f t="shared" si="5"/>
        <v>0.015765765765765764</v>
      </c>
      <c r="I47" s="6"/>
      <c r="J47" s="473"/>
      <c r="K47" s="473"/>
      <c r="L47" s="11"/>
      <c r="M47" s="11"/>
    </row>
    <row r="48" spans="1:13" ht="12.75">
      <c r="A48" s="148" t="s">
        <v>54</v>
      </c>
      <c r="B48" s="67"/>
      <c r="C48" s="151">
        <v>412900</v>
      </c>
      <c r="D48" s="151" t="s">
        <v>0</v>
      </c>
      <c r="E48" s="171">
        <v>400</v>
      </c>
      <c r="F48" s="171">
        <v>400</v>
      </c>
      <c r="G48" s="167">
        <f t="shared" si="4"/>
        <v>100</v>
      </c>
      <c r="H48" s="202">
        <f t="shared" si="5"/>
        <v>0.0018018018018018018</v>
      </c>
      <c r="I48" s="6"/>
      <c r="J48" s="473"/>
      <c r="K48" s="473"/>
      <c r="L48" s="11"/>
      <c r="M48" s="11"/>
    </row>
    <row r="49" spans="1:13" ht="12.75">
      <c r="A49" s="148" t="s">
        <v>54</v>
      </c>
      <c r="B49" s="67"/>
      <c r="C49" s="151">
        <v>412900</v>
      </c>
      <c r="D49" s="151" t="s">
        <v>129</v>
      </c>
      <c r="E49" s="173">
        <v>2500</v>
      </c>
      <c r="F49" s="173">
        <v>3350</v>
      </c>
      <c r="G49" s="167">
        <f t="shared" si="4"/>
        <v>134</v>
      </c>
      <c r="H49" s="202">
        <f t="shared" si="5"/>
        <v>0.01509009009009009</v>
      </c>
      <c r="I49" s="6"/>
      <c r="J49" s="473"/>
      <c r="K49" s="473"/>
      <c r="L49" s="11"/>
      <c r="M49" s="11"/>
    </row>
    <row r="50" spans="1:13" ht="12.75">
      <c r="A50" s="148"/>
      <c r="B50" s="67">
        <v>415000</v>
      </c>
      <c r="C50" s="151"/>
      <c r="D50" s="174" t="s">
        <v>134</v>
      </c>
      <c r="E50" s="203">
        <f>SUM(E51:E51)</f>
        <v>1000</v>
      </c>
      <c r="F50" s="203">
        <f>SUM(F51:F51)</f>
        <v>1000</v>
      </c>
      <c r="G50" s="164">
        <f t="shared" si="4"/>
        <v>100</v>
      </c>
      <c r="H50" s="204">
        <f t="shared" si="5"/>
        <v>0.0045045045045045045</v>
      </c>
      <c r="I50" s="6"/>
      <c r="J50" s="473"/>
      <c r="K50" s="473"/>
      <c r="L50" s="11"/>
      <c r="M50" s="11"/>
    </row>
    <row r="51" spans="1:13" ht="14.25" customHeight="1">
      <c r="A51" s="148" t="s">
        <v>54</v>
      </c>
      <c r="B51" s="67"/>
      <c r="C51" s="151">
        <v>415200</v>
      </c>
      <c r="D51" s="103" t="s">
        <v>291</v>
      </c>
      <c r="E51" s="173">
        <v>1000</v>
      </c>
      <c r="F51" s="173">
        <v>1000</v>
      </c>
      <c r="G51" s="167">
        <f t="shared" si="4"/>
        <v>100</v>
      </c>
      <c r="H51" s="202">
        <f t="shared" si="5"/>
        <v>0.0045045045045045045</v>
      </c>
      <c r="I51" s="6"/>
      <c r="J51" s="473"/>
      <c r="K51" s="473"/>
      <c r="L51" s="11"/>
      <c r="M51" s="11"/>
    </row>
    <row r="52" spans="1:13" ht="26.25" customHeight="1">
      <c r="A52" s="148"/>
      <c r="B52" s="67"/>
      <c r="C52" s="81"/>
      <c r="D52" s="162" t="s">
        <v>506</v>
      </c>
      <c r="E52" s="203">
        <f>SUM(E53:E58)</f>
        <v>260000</v>
      </c>
      <c r="F52" s="203">
        <f>SUM(F53:F58)</f>
        <v>248000</v>
      </c>
      <c r="G52" s="164">
        <f t="shared" si="4"/>
        <v>95.38461538461539</v>
      </c>
      <c r="H52" s="204">
        <f t="shared" si="5"/>
        <v>1.1171171171171173</v>
      </c>
      <c r="I52" s="6"/>
      <c r="J52" s="473"/>
      <c r="K52" s="473"/>
      <c r="L52" s="12"/>
      <c r="M52" s="11"/>
    </row>
    <row r="53" spans="1:13" ht="12.75">
      <c r="A53" s="148" t="s">
        <v>54</v>
      </c>
      <c r="B53" s="67"/>
      <c r="C53" s="81">
        <v>412500</v>
      </c>
      <c r="D53" s="103" t="s">
        <v>125</v>
      </c>
      <c r="E53" s="173">
        <v>10000</v>
      </c>
      <c r="F53" s="173">
        <v>10000</v>
      </c>
      <c r="G53" s="167">
        <f t="shared" si="4"/>
        <v>100</v>
      </c>
      <c r="H53" s="202">
        <f t="shared" si="5"/>
        <v>0.04504504504504504</v>
      </c>
      <c r="I53" s="6"/>
      <c r="J53" s="473"/>
      <c r="K53" s="473"/>
      <c r="L53" s="11"/>
      <c r="M53" s="11"/>
    </row>
    <row r="54" spans="1:13" ht="12.75">
      <c r="A54" s="148" t="s">
        <v>54</v>
      </c>
      <c r="B54" s="67"/>
      <c r="C54" s="81">
        <v>511100</v>
      </c>
      <c r="D54" s="108" t="s">
        <v>456</v>
      </c>
      <c r="E54" s="173">
        <v>50000</v>
      </c>
      <c r="F54" s="173">
        <v>0</v>
      </c>
      <c r="G54" s="167">
        <f t="shared" si="4"/>
        <v>0</v>
      </c>
      <c r="H54" s="202">
        <f t="shared" si="5"/>
        <v>0</v>
      </c>
      <c r="I54" s="6"/>
      <c r="J54" s="473"/>
      <c r="K54" s="473"/>
      <c r="L54" s="11"/>
      <c r="M54" s="11"/>
    </row>
    <row r="55" spans="1:13" ht="15" customHeight="1">
      <c r="A55" s="148" t="s">
        <v>54</v>
      </c>
      <c r="B55" s="67"/>
      <c r="C55" s="81">
        <v>511200</v>
      </c>
      <c r="D55" s="144" t="s">
        <v>148</v>
      </c>
      <c r="E55" s="173">
        <v>0</v>
      </c>
      <c r="F55" s="173">
        <v>5000</v>
      </c>
      <c r="G55" s="167" t="e">
        <f t="shared" si="4"/>
        <v>#DIV/0!</v>
      </c>
      <c r="H55" s="202">
        <f t="shared" si="5"/>
        <v>0.02252252252252252</v>
      </c>
      <c r="I55" s="6"/>
      <c r="J55" s="473"/>
      <c r="K55" s="473"/>
      <c r="L55" s="11"/>
      <c r="M55" s="11"/>
    </row>
    <row r="56" spans="1:13" ht="12.75">
      <c r="A56" s="148" t="s">
        <v>54</v>
      </c>
      <c r="B56" s="67"/>
      <c r="C56" s="81">
        <v>511300</v>
      </c>
      <c r="D56" s="108" t="s">
        <v>2</v>
      </c>
      <c r="E56" s="173">
        <v>150000</v>
      </c>
      <c r="F56" s="173">
        <v>208000</v>
      </c>
      <c r="G56" s="167">
        <f t="shared" si="4"/>
        <v>138.66666666666669</v>
      </c>
      <c r="H56" s="202">
        <f t="shared" si="5"/>
        <v>0.9369369369369369</v>
      </c>
      <c r="I56" s="6"/>
      <c r="J56" s="473"/>
      <c r="K56" s="473"/>
      <c r="L56" s="11"/>
      <c r="M56" s="11"/>
    </row>
    <row r="57" spans="1:13" ht="12.75">
      <c r="A57" s="155" t="s">
        <v>54</v>
      </c>
      <c r="B57" s="67"/>
      <c r="C57" s="81">
        <v>511400</v>
      </c>
      <c r="D57" s="108" t="s">
        <v>297</v>
      </c>
      <c r="E57" s="171">
        <v>15000</v>
      </c>
      <c r="F57" s="171">
        <v>10000</v>
      </c>
      <c r="G57" s="167">
        <f t="shared" si="4"/>
        <v>66.66666666666666</v>
      </c>
      <c r="H57" s="202">
        <f t="shared" si="5"/>
        <v>0.04504504504504504</v>
      </c>
      <c r="I57" s="6"/>
      <c r="J57" s="473"/>
      <c r="K57" s="473"/>
      <c r="L57" s="11"/>
      <c r="M57" s="11"/>
    </row>
    <row r="58" spans="1:13" ht="25.5">
      <c r="A58" s="155" t="s">
        <v>54</v>
      </c>
      <c r="B58" s="67"/>
      <c r="C58" s="81">
        <v>516100</v>
      </c>
      <c r="D58" s="108" t="s">
        <v>245</v>
      </c>
      <c r="E58" s="171">
        <v>35000</v>
      </c>
      <c r="F58" s="171">
        <v>15000</v>
      </c>
      <c r="G58" s="167">
        <f t="shared" si="4"/>
        <v>42.857142857142854</v>
      </c>
      <c r="H58" s="202">
        <f t="shared" si="5"/>
        <v>0.06756756756756757</v>
      </c>
      <c r="I58" s="6"/>
      <c r="J58" s="473"/>
      <c r="K58" s="473"/>
      <c r="L58" s="11"/>
      <c r="M58" s="11"/>
    </row>
    <row r="59" spans="1:13" ht="26.25" customHeight="1">
      <c r="A59" s="526"/>
      <c r="B59" s="527"/>
      <c r="C59" s="517" t="s">
        <v>271</v>
      </c>
      <c r="D59" s="518"/>
      <c r="E59" s="187">
        <f>E43+E50+E52</f>
        <v>283400</v>
      </c>
      <c r="F59" s="187">
        <f>F43+F50+F52</f>
        <v>272750</v>
      </c>
      <c r="G59" s="451">
        <f t="shared" si="4"/>
        <v>96.24206069160198</v>
      </c>
      <c r="H59" s="205">
        <f t="shared" si="5"/>
        <v>1.2286036036036037</v>
      </c>
      <c r="I59" s="6"/>
      <c r="J59" s="473"/>
      <c r="K59" s="516"/>
      <c r="L59" s="12"/>
      <c r="M59" s="11"/>
    </row>
    <row r="60" spans="1:13" ht="12.75">
      <c r="A60" s="556"/>
      <c r="B60" s="557"/>
      <c r="C60" s="550" t="s">
        <v>649</v>
      </c>
      <c r="D60" s="551"/>
      <c r="E60" s="206"/>
      <c r="F60" s="206"/>
      <c r="G60" s="206"/>
      <c r="H60" s="207"/>
      <c r="I60" s="8"/>
      <c r="J60" s="516"/>
      <c r="K60" s="516"/>
      <c r="L60" s="11"/>
      <c r="M60" s="11"/>
    </row>
    <row r="61" spans="1:13" ht="12.75">
      <c r="A61" s="558"/>
      <c r="B61" s="559"/>
      <c r="C61" s="552"/>
      <c r="D61" s="553"/>
      <c r="E61" s="208"/>
      <c r="F61" s="208"/>
      <c r="G61" s="208"/>
      <c r="H61" s="209"/>
      <c r="I61" s="8"/>
      <c r="J61" s="516"/>
      <c r="K61" s="516"/>
      <c r="L61" s="11"/>
      <c r="M61" s="11"/>
    </row>
    <row r="62" spans="1:13" ht="21.75" customHeight="1">
      <c r="A62" s="560"/>
      <c r="B62" s="561"/>
      <c r="C62" s="554"/>
      <c r="D62" s="555"/>
      <c r="E62" s="208"/>
      <c r="F62" s="208"/>
      <c r="G62" s="208"/>
      <c r="H62" s="209"/>
      <c r="I62" s="8"/>
      <c r="J62" s="516"/>
      <c r="K62" s="473"/>
      <c r="L62" s="11"/>
      <c r="M62" s="11"/>
    </row>
    <row r="63" spans="1:13" ht="12.75">
      <c r="A63" s="148"/>
      <c r="B63" s="210" t="s">
        <v>362</v>
      </c>
      <c r="C63" s="211"/>
      <c r="D63" s="212" t="s">
        <v>120</v>
      </c>
      <c r="E63" s="203">
        <f>SUM(E64:E66)</f>
        <v>4000</v>
      </c>
      <c r="F63" s="203">
        <f>SUM(F64:F66)</f>
        <v>4000</v>
      </c>
      <c r="G63" s="203">
        <f aca="true" t="shared" si="6" ref="G63:G72">F63/E63*100</f>
        <v>100</v>
      </c>
      <c r="H63" s="169">
        <f aca="true" t="shared" si="7" ref="H63:H72">F63/$F$587*100</f>
        <v>0.018018018018018018</v>
      </c>
      <c r="I63" s="8"/>
      <c r="J63" s="473"/>
      <c r="K63" s="473"/>
      <c r="L63" s="11"/>
      <c r="M63" s="11"/>
    </row>
    <row r="64" spans="1:13" ht="12.75">
      <c r="A64" s="148" t="s">
        <v>54</v>
      </c>
      <c r="B64" s="67"/>
      <c r="C64" s="92">
        <v>412900</v>
      </c>
      <c r="D64" s="103" t="s">
        <v>275</v>
      </c>
      <c r="E64" s="167">
        <v>2000</v>
      </c>
      <c r="F64" s="167">
        <v>2000</v>
      </c>
      <c r="G64" s="214">
        <f t="shared" si="6"/>
        <v>100</v>
      </c>
      <c r="H64" s="85">
        <f t="shared" si="7"/>
        <v>0.009009009009009009</v>
      </c>
      <c r="I64" s="8"/>
      <c r="J64" s="473"/>
      <c r="K64" s="473"/>
      <c r="L64" s="11"/>
      <c r="M64" s="11"/>
    </row>
    <row r="65" spans="1:13" ht="23.25" customHeight="1">
      <c r="A65" s="148" t="s">
        <v>54</v>
      </c>
      <c r="B65" s="67"/>
      <c r="C65" s="92">
        <v>412900</v>
      </c>
      <c r="D65" s="103" t="s">
        <v>305</v>
      </c>
      <c r="E65" s="167">
        <v>2000</v>
      </c>
      <c r="F65" s="167">
        <v>2000</v>
      </c>
      <c r="G65" s="214">
        <f t="shared" si="6"/>
        <v>100</v>
      </c>
      <c r="H65" s="85">
        <f t="shared" si="7"/>
        <v>0.009009009009009009</v>
      </c>
      <c r="I65" s="8"/>
      <c r="J65" s="473"/>
      <c r="K65" s="473"/>
      <c r="L65" s="11"/>
      <c r="M65" s="11"/>
    </row>
    <row r="66" spans="1:13" ht="0.75" customHeight="1" hidden="1">
      <c r="A66" s="148" t="s">
        <v>54</v>
      </c>
      <c r="B66" s="67"/>
      <c r="C66" s="92">
        <v>412900</v>
      </c>
      <c r="D66" s="103" t="s">
        <v>459</v>
      </c>
      <c r="E66" s="215">
        <v>0</v>
      </c>
      <c r="F66" s="215">
        <v>0</v>
      </c>
      <c r="G66" s="214" t="e">
        <f t="shared" si="6"/>
        <v>#DIV/0!</v>
      </c>
      <c r="H66" s="85">
        <f t="shared" si="7"/>
        <v>0</v>
      </c>
      <c r="I66" s="8"/>
      <c r="J66" s="473"/>
      <c r="K66" s="473"/>
      <c r="L66" s="11"/>
      <c r="M66" s="11"/>
    </row>
    <row r="67" spans="1:13" ht="12.75">
      <c r="A67" s="148"/>
      <c r="B67" s="67">
        <v>416000</v>
      </c>
      <c r="C67" s="92"/>
      <c r="D67" s="162" t="s">
        <v>1</v>
      </c>
      <c r="E67" s="203">
        <f>SUM(E68:E69)</f>
        <v>5000</v>
      </c>
      <c r="F67" s="203">
        <f>SUM(F68:F69)</f>
        <v>5000</v>
      </c>
      <c r="G67" s="203">
        <f t="shared" si="6"/>
        <v>100</v>
      </c>
      <c r="H67" s="169">
        <f t="shared" si="7"/>
        <v>0.02252252252252252</v>
      </c>
      <c r="I67" s="8"/>
      <c r="J67" s="473"/>
      <c r="K67" s="473"/>
      <c r="L67" s="11"/>
      <c r="M67" s="11"/>
    </row>
    <row r="68" spans="1:13" ht="13.5" customHeight="1">
      <c r="A68" s="148" t="s">
        <v>54</v>
      </c>
      <c r="B68" s="67"/>
      <c r="C68" s="92">
        <v>416100</v>
      </c>
      <c r="D68" s="103" t="s">
        <v>197</v>
      </c>
      <c r="E68" s="216">
        <v>5000</v>
      </c>
      <c r="F68" s="216">
        <v>5000</v>
      </c>
      <c r="G68" s="214">
        <f t="shared" si="6"/>
        <v>100</v>
      </c>
      <c r="H68" s="85">
        <f t="shared" si="7"/>
        <v>0.02252252252252252</v>
      </c>
      <c r="I68" s="8"/>
      <c r="J68" s="473"/>
      <c r="K68" s="473"/>
      <c r="L68" s="11"/>
      <c r="M68" s="11"/>
    </row>
    <row r="69" spans="1:13" ht="19.5" customHeight="1" hidden="1">
      <c r="A69" s="148" t="s">
        <v>54</v>
      </c>
      <c r="B69" s="67"/>
      <c r="C69" s="92">
        <v>416100</v>
      </c>
      <c r="D69" s="103" t="s">
        <v>463</v>
      </c>
      <c r="E69" s="216">
        <v>0</v>
      </c>
      <c r="F69" s="216">
        <v>0</v>
      </c>
      <c r="G69" s="214" t="e">
        <f t="shared" si="6"/>
        <v>#DIV/0!</v>
      </c>
      <c r="H69" s="85">
        <f t="shared" si="7"/>
        <v>0</v>
      </c>
      <c r="I69" s="8"/>
      <c r="J69" s="473"/>
      <c r="K69" s="473"/>
      <c r="L69" s="11"/>
      <c r="M69" s="11"/>
    </row>
    <row r="70" spans="1:13" ht="12.75">
      <c r="A70" s="148"/>
      <c r="B70" s="67">
        <v>511000</v>
      </c>
      <c r="C70" s="92"/>
      <c r="D70" s="162" t="s">
        <v>138</v>
      </c>
      <c r="E70" s="203">
        <f>SUM(E71)</f>
        <v>10000</v>
      </c>
      <c r="F70" s="203">
        <f>SUM(F71)</f>
        <v>8000</v>
      </c>
      <c r="G70" s="203">
        <f t="shared" si="6"/>
        <v>80</v>
      </c>
      <c r="H70" s="169">
        <f t="shared" si="7"/>
        <v>0.036036036036036036</v>
      </c>
      <c r="I70" s="8"/>
      <c r="J70" s="473"/>
      <c r="K70" s="473"/>
      <c r="L70" s="11"/>
      <c r="M70" s="11"/>
    </row>
    <row r="71" spans="1:13" ht="12.75">
      <c r="A71" s="148" t="s">
        <v>54</v>
      </c>
      <c r="B71" s="67"/>
      <c r="C71" s="92">
        <v>511300</v>
      </c>
      <c r="D71" s="103" t="s">
        <v>276</v>
      </c>
      <c r="E71" s="216">
        <v>10000</v>
      </c>
      <c r="F71" s="216">
        <v>8000</v>
      </c>
      <c r="G71" s="214">
        <f t="shared" si="6"/>
        <v>80</v>
      </c>
      <c r="H71" s="85">
        <f t="shared" si="7"/>
        <v>0.036036036036036036</v>
      </c>
      <c r="I71" s="8"/>
      <c r="J71" s="473"/>
      <c r="K71" s="473"/>
      <c r="L71" s="11"/>
      <c r="M71" s="11"/>
    </row>
    <row r="72" spans="1:13" ht="25.5" customHeight="1">
      <c r="A72" s="526"/>
      <c r="B72" s="527"/>
      <c r="C72" s="517" t="s">
        <v>455</v>
      </c>
      <c r="D72" s="517"/>
      <c r="E72" s="187">
        <f>E63+E67+E70</f>
        <v>19000</v>
      </c>
      <c r="F72" s="187">
        <f>F63+F67+F70</f>
        <v>17000</v>
      </c>
      <c r="G72" s="452">
        <f t="shared" si="6"/>
        <v>89.47368421052632</v>
      </c>
      <c r="H72" s="205">
        <f t="shared" si="7"/>
        <v>0.07657657657657657</v>
      </c>
      <c r="I72" s="8"/>
      <c r="J72" s="473"/>
      <c r="K72" s="473"/>
      <c r="L72" s="12"/>
      <c r="M72" s="11"/>
    </row>
    <row r="73" spans="1:13" ht="9.75" customHeight="1">
      <c r="A73" s="526"/>
      <c r="B73" s="527"/>
      <c r="C73" s="521" t="s">
        <v>648</v>
      </c>
      <c r="D73" s="540"/>
      <c r="E73" s="217"/>
      <c r="F73" s="217"/>
      <c r="G73" s="217"/>
      <c r="H73" s="218"/>
      <c r="I73" s="6"/>
      <c r="J73" s="516"/>
      <c r="K73" s="473"/>
      <c r="L73" s="11"/>
      <c r="M73" s="11"/>
    </row>
    <row r="74" spans="1:13" ht="9.75" customHeight="1">
      <c r="A74" s="526"/>
      <c r="B74" s="527"/>
      <c r="C74" s="521"/>
      <c r="D74" s="540"/>
      <c r="E74" s="219"/>
      <c r="F74" s="219"/>
      <c r="G74" s="219"/>
      <c r="H74" s="220"/>
      <c r="I74" s="6"/>
      <c r="J74" s="516"/>
      <c r="K74" s="473"/>
      <c r="L74" s="11"/>
      <c r="M74" s="11"/>
    </row>
    <row r="75" spans="1:13" ht="22.5" customHeight="1">
      <c r="A75" s="526"/>
      <c r="B75" s="527"/>
      <c r="C75" s="521"/>
      <c r="D75" s="540"/>
      <c r="E75" s="221"/>
      <c r="F75" s="221"/>
      <c r="G75" s="221"/>
      <c r="H75" s="222"/>
      <c r="I75" s="6"/>
      <c r="J75" s="516"/>
      <c r="K75" s="473"/>
      <c r="L75" s="11"/>
      <c r="M75" s="11"/>
    </row>
    <row r="76" spans="1:13" ht="14.25" customHeight="1">
      <c r="A76" s="148"/>
      <c r="B76" s="67">
        <v>412000</v>
      </c>
      <c r="C76" s="74"/>
      <c r="D76" s="162" t="s">
        <v>120</v>
      </c>
      <c r="E76" s="164">
        <f>SUM(E77:E81)</f>
        <v>46000</v>
      </c>
      <c r="F76" s="164">
        <f>SUM(F77:F81)</f>
        <v>46000</v>
      </c>
      <c r="G76" s="164">
        <f aca="true" t="shared" si="8" ref="G76:G86">F76/E76*100</f>
        <v>100</v>
      </c>
      <c r="H76" s="165">
        <f aca="true" t="shared" si="9" ref="H76:H86">F76/$F$587*100</f>
        <v>0.20720720720720723</v>
      </c>
      <c r="I76" s="6"/>
      <c r="J76" s="473"/>
      <c r="K76" s="516"/>
      <c r="L76" s="11"/>
      <c r="M76" s="11"/>
    </row>
    <row r="77" spans="1:13" ht="12.75" customHeight="1">
      <c r="A77" s="148" t="s">
        <v>23</v>
      </c>
      <c r="B77" s="151"/>
      <c r="C77" s="81">
        <v>412700</v>
      </c>
      <c r="D77" s="151" t="s">
        <v>144</v>
      </c>
      <c r="E77" s="171">
        <v>2500</v>
      </c>
      <c r="F77" s="171">
        <v>2500</v>
      </c>
      <c r="G77" s="167">
        <f t="shared" si="8"/>
        <v>100</v>
      </c>
      <c r="H77" s="85">
        <f t="shared" si="9"/>
        <v>0.01126126126126126</v>
      </c>
      <c r="I77" s="6"/>
      <c r="J77" s="473"/>
      <c r="K77" s="516"/>
      <c r="L77" s="11"/>
      <c r="M77" s="11"/>
    </row>
    <row r="78" spans="1:13" ht="12.75" customHeight="1">
      <c r="A78" s="148" t="s">
        <v>32</v>
      </c>
      <c r="B78" s="151"/>
      <c r="C78" s="81">
        <v>412700</v>
      </c>
      <c r="D78" s="151" t="s">
        <v>106</v>
      </c>
      <c r="E78" s="171">
        <v>12100</v>
      </c>
      <c r="F78" s="171">
        <v>12100</v>
      </c>
      <c r="G78" s="167">
        <f t="shared" si="8"/>
        <v>100</v>
      </c>
      <c r="H78" s="85">
        <f t="shared" si="9"/>
        <v>0.0545045045045045</v>
      </c>
      <c r="I78" s="6"/>
      <c r="J78" s="473"/>
      <c r="K78" s="516"/>
      <c r="L78" s="11"/>
      <c r="M78" s="11"/>
    </row>
    <row r="79" spans="1:13" ht="12.75" customHeight="1">
      <c r="A79" s="148" t="s">
        <v>23</v>
      </c>
      <c r="B79" s="151"/>
      <c r="C79" s="81">
        <v>412900</v>
      </c>
      <c r="D79" s="103" t="s">
        <v>0</v>
      </c>
      <c r="E79" s="171">
        <v>300</v>
      </c>
      <c r="F79" s="171">
        <v>300</v>
      </c>
      <c r="G79" s="167">
        <f t="shared" si="8"/>
        <v>100</v>
      </c>
      <c r="H79" s="85">
        <f t="shared" si="9"/>
        <v>0.0013513513513513514</v>
      </c>
      <c r="I79" s="6"/>
      <c r="J79" s="473"/>
      <c r="K79" s="473"/>
      <c r="L79" s="11"/>
      <c r="M79" s="11"/>
    </row>
    <row r="80" spans="1:13" ht="12.75" customHeight="1">
      <c r="A80" s="148" t="s">
        <v>23</v>
      </c>
      <c r="B80" s="151"/>
      <c r="C80" s="81">
        <v>412900</v>
      </c>
      <c r="D80" s="108" t="s">
        <v>183</v>
      </c>
      <c r="E80" s="171">
        <v>11100</v>
      </c>
      <c r="F80" s="171">
        <v>11100</v>
      </c>
      <c r="G80" s="167">
        <f t="shared" si="8"/>
        <v>100</v>
      </c>
      <c r="H80" s="85">
        <f t="shared" si="9"/>
        <v>0.05</v>
      </c>
      <c r="I80" s="6"/>
      <c r="J80" s="473"/>
      <c r="K80" s="473"/>
      <c r="L80" s="11"/>
      <c r="M80" s="11"/>
    </row>
    <row r="81" spans="1:13" ht="14.25" customHeight="1">
      <c r="A81" s="148" t="s">
        <v>23</v>
      </c>
      <c r="B81" s="151"/>
      <c r="C81" s="226">
        <v>412900</v>
      </c>
      <c r="D81" s="108" t="s">
        <v>466</v>
      </c>
      <c r="E81" s="171">
        <v>20000</v>
      </c>
      <c r="F81" s="171">
        <v>20000</v>
      </c>
      <c r="G81" s="167">
        <f t="shared" si="8"/>
        <v>100</v>
      </c>
      <c r="H81" s="85">
        <f t="shared" si="9"/>
        <v>0.09009009009009009</v>
      </c>
      <c r="I81" s="6"/>
      <c r="J81" s="473"/>
      <c r="K81" s="473"/>
      <c r="L81" s="11"/>
      <c r="M81" s="11"/>
    </row>
    <row r="82" spans="1:13" ht="14.25" customHeight="1">
      <c r="A82" s="148"/>
      <c r="B82" s="151"/>
      <c r="C82" s="81"/>
      <c r="D82" s="107" t="s">
        <v>118</v>
      </c>
      <c r="E82" s="203">
        <f>SUM(E83:E85)</f>
        <v>12000</v>
      </c>
      <c r="F82" s="203">
        <f>SUM(F83:F85)</f>
        <v>12000</v>
      </c>
      <c r="G82" s="164">
        <f t="shared" si="8"/>
        <v>100</v>
      </c>
      <c r="H82" s="169">
        <f t="shared" si="9"/>
        <v>0.05405405405405406</v>
      </c>
      <c r="I82" s="6"/>
      <c r="J82" s="473"/>
      <c r="K82" s="473"/>
      <c r="L82" s="11"/>
      <c r="M82" s="11"/>
    </row>
    <row r="83" spans="1:13" ht="14.25" customHeight="1">
      <c r="A83" s="148" t="s">
        <v>35</v>
      </c>
      <c r="B83" s="151"/>
      <c r="C83" s="81">
        <v>412300</v>
      </c>
      <c r="D83" s="108" t="s">
        <v>236</v>
      </c>
      <c r="E83" s="171">
        <v>1000</v>
      </c>
      <c r="F83" s="171">
        <v>1000</v>
      </c>
      <c r="G83" s="167">
        <f t="shared" si="8"/>
        <v>100</v>
      </c>
      <c r="H83" s="85">
        <f t="shared" si="9"/>
        <v>0.0045045045045045045</v>
      </c>
      <c r="I83" s="6"/>
      <c r="J83" s="473"/>
      <c r="K83" s="473"/>
      <c r="L83" s="11"/>
      <c r="M83" s="11"/>
    </row>
    <row r="84" spans="1:13" ht="13.5" customHeight="1">
      <c r="A84" s="150" t="s">
        <v>35</v>
      </c>
      <c r="B84" s="223"/>
      <c r="C84" s="112">
        <v>412500</v>
      </c>
      <c r="D84" s="108" t="s">
        <v>229</v>
      </c>
      <c r="E84" s="173">
        <v>7000</v>
      </c>
      <c r="F84" s="173">
        <v>7000</v>
      </c>
      <c r="G84" s="167">
        <f t="shared" si="8"/>
        <v>100</v>
      </c>
      <c r="H84" s="85">
        <f t="shared" si="9"/>
        <v>0.03153153153153153</v>
      </c>
      <c r="I84" s="8"/>
      <c r="J84" s="473"/>
      <c r="K84" s="473"/>
      <c r="L84" s="11"/>
      <c r="M84" s="11"/>
    </row>
    <row r="85" spans="1:13" ht="12.75" customHeight="1">
      <c r="A85" s="148" t="s">
        <v>35</v>
      </c>
      <c r="B85" s="151"/>
      <c r="C85" s="81">
        <v>412900</v>
      </c>
      <c r="D85" s="108" t="s">
        <v>230</v>
      </c>
      <c r="E85" s="173">
        <v>4000</v>
      </c>
      <c r="F85" s="173">
        <v>4000</v>
      </c>
      <c r="G85" s="167">
        <f t="shared" si="8"/>
        <v>100</v>
      </c>
      <c r="H85" s="85">
        <f t="shared" si="9"/>
        <v>0.018018018018018018</v>
      </c>
      <c r="I85" s="6"/>
      <c r="J85" s="473"/>
      <c r="K85" s="473"/>
      <c r="L85" s="11"/>
      <c r="M85" s="11"/>
    </row>
    <row r="86" spans="1:13" ht="24.75" customHeight="1">
      <c r="A86" s="530"/>
      <c r="B86" s="531"/>
      <c r="C86" s="517" t="s">
        <v>80</v>
      </c>
      <c r="D86" s="518"/>
      <c r="E86" s="187">
        <f>E76+E82</f>
        <v>58000</v>
      </c>
      <c r="F86" s="187">
        <f>F76+F82</f>
        <v>58000</v>
      </c>
      <c r="G86" s="451">
        <f t="shared" si="8"/>
        <v>100</v>
      </c>
      <c r="H86" s="188">
        <f t="shared" si="9"/>
        <v>0.26126126126126126</v>
      </c>
      <c r="I86" s="6"/>
      <c r="J86" s="473"/>
      <c r="K86" s="473"/>
      <c r="L86" s="12"/>
      <c r="M86" s="11"/>
    </row>
    <row r="87" spans="1:13" ht="9.75" customHeight="1">
      <c r="A87" s="526"/>
      <c r="B87" s="527"/>
      <c r="C87" s="521" t="s">
        <v>647</v>
      </c>
      <c r="D87" s="540"/>
      <c r="E87" s="217"/>
      <c r="F87" s="217"/>
      <c r="G87" s="217"/>
      <c r="H87" s="218"/>
      <c r="I87" s="6"/>
      <c r="J87" s="516"/>
      <c r="K87" s="473"/>
      <c r="L87" s="11"/>
      <c r="M87" s="11"/>
    </row>
    <row r="88" spans="1:13" ht="9.75" customHeight="1">
      <c r="A88" s="526"/>
      <c r="B88" s="527"/>
      <c r="C88" s="521"/>
      <c r="D88" s="540"/>
      <c r="E88" s="219"/>
      <c r="F88" s="219"/>
      <c r="G88" s="219"/>
      <c r="H88" s="220"/>
      <c r="I88" s="6"/>
      <c r="J88" s="516"/>
      <c r="K88" s="473"/>
      <c r="L88" s="11"/>
      <c r="M88" s="11"/>
    </row>
    <row r="89" spans="1:13" ht="25.5" customHeight="1">
      <c r="A89" s="526"/>
      <c r="B89" s="527"/>
      <c r="C89" s="521"/>
      <c r="D89" s="540"/>
      <c r="E89" s="221"/>
      <c r="F89" s="221"/>
      <c r="G89" s="221"/>
      <c r="H89" s="222"/>
      <c r="I89" s="6"/>
      <c r="J89" s="516"/>
      <c r="K89" s="473"/>
      <c r="L89" s="11"/>
      <c r="M89" s="11"/>
    </row>
    <row r="90" spans="1:13" ht="16.5" customHeight="1">
      <c r="A90" s="148"/>
      <c r="B90" s="67">
        <v>411000</v>
      </c>
      <c r="C90" s="224"/>
      <c r="D90" s="86" t="s">
        <v>268</v>
      </c>
      <c r="E90" s="163">
        <f>SUM(E91:E94)</f>
        <v>3715000</v>
      </c>
      <c r="F90" s="163">
        <f>SUM(F91:F94)</f>
        <v>4009000</v>
      </c>
      <c r="G90" s="164">
        <f aca="true" t="shared" si="10" ref="G90:G103">F90/E90*100</f>
        <v>107.91386271870793</v>
      </c>
      <c r="H90" s="165">
        <f aca="true" t="shared" si="11" ref="H90:H103">F90/$F$587*100</f>
        <v>18.05855855855856</v>
      </c>
      <c r="I90" s="6"/>
      <c r="J90" s="473"/>
      <c r="K90" s="473"/>
      <c r="L90" s="12"/>
      <c r="M90" s="11"/>
    </row>
    <row r="91" spans="1:13" ht="12.75" customHeight="1">
      <c r="A91" s="148" t="s">
        <v>23</v>
      </c>
      <c r="B91" s="151"/>
      <c r="C91" s="81">
        <v>411100</v>
      </c>
      <c r="D91" s="87" t="s">
        <v>325</v>
      </c>
      <c r="E91" s="173">
        <v>2780000</v>
      </c>
      <c r="F91" s="216">
        <v>3050000</v>
      </c>
      <c r="G91" s="167">
        <f t="shared" si="10"/>
        <v>109.71223021582735</v>
      </c>
      <c r="H91" s="85">
        <f t="shared" si="11"/>
        <v>13.73873873873874</v>
      </c>
      <c r="I91" s="360"/>
      <c r="J91" s="473"/>
      <c r="K91" s="473"/>
      <c r="L91" s="12"/>
      <c r="M91" s="11"/>
    </row>
    <row r="92" spans="1:13" ht="26.25" customHeight="1">
      <c r="A92" s="148" t="s">
        <v>23</v>
      </c>
      <c r="B92" s="151"/>
      <c r="C92" s="81">
        <v>411200</v>
      </c>
      <c r="D92" s="87" t="s">
        <v>330</v>
      </c>
      <c r="E92" s="173">
        <v>700000</v>
      </c>
      <c r="F92" s="173">
        <v>740000</v>
      </c>
      <c r="G92" s="167">
        <f t="shared" si="10"/>
        <v>105.71428571428572</v>
      </c>
      <c r="H92" s="85">
        <f t="shared" si="11"/>
        <v>3.3333333333333335</v>
      </c>
      <c r="I92" s="6"/>
      <c r="J92" s="473"/>
      <c r="K92" s="473"/>
      <c r="L92" s="12"/>
      <c r="M92" s="11"/>
    </row>
    <row r="93" spans="1:13" ht="25.5">
      <c r="A93" s="148" t="s">
        <v>23</v>
      </c>
      <c r="B93" s="151"/>
      <c r="C93" s="81">
        <v>411300</v>
      </c>
      <c r="D93" s="87" t="s">
        <v>415</v>
      </c>
      <c r="E93" s="173">
        <v>60000</v>
      </c>
      <c r="F93" s="173">
        <v>84000</v>
      </c>
      <c r="G93" s="167">
        <f t="shared" si="10"/>
        <v>140</v>
      </c>
      <c r="H93" s="85">
        <f t="shared" si="11"/>
        <v>0.3783783783783784</v>
      </c>
      <c r="I93" s="6"/>
      <c r="J93" s="473"/>
      <c r="K93" s="516"/>
      <c r="L93" s="12"/>
      <c r="M93" s="11"/>
    </row>
    <row r="94" spans="1:13" ht="12.75" customHeight="1">
      <c r="A94" s="148" t="s">
        <v>23</v>
      </c>
      <c r="B94" s="151"/>
      <c r="C94" s="81">
        <v>411400</v>
      </c>
      <c r="D94" s="88" t="s">
        <v>326</v>
      </c>
      <c r="E94" s="173">
        <v>175000</v>
      </c>
      <c r="F94" s="173">
        <v>135000</v>
      </c>
      <c r="G94" s="167">
        <f t="shared" si="10"/>
        <v>77.14285714285715</v>
      </c>
      <c r="H94" s="85">
        <f t="shared" si="11"/>
        <v>0.6081081081081081</v>
      </c>
      <c r="I94" s="6"/>
      <c r="J94" s="473"/>
      <c r="K94" s="516"/>
      <c r="L94" s="12"/>
      <c r="M94" s="11"/>
    </row>
    <row r="95" spans="1:13" ht="14.25" customHeight="1">
      <c r="A95" s="148"/>
      <c r="B95" s="67">
        <v>412000</v>
      </c>
      <c r="C95" s="81"/>
      <c r="D95" s="162" t="s">
        <v>120</v>
      </c>
      <c r="E95" s="203">
        <f>SUM(E96:E98)</f>
        <v>10070</v>
      </c>
      <c r="F95" s="203">
        <f>SUM(F96:F98)</f>
        <v>10700</v>
      </c>
      <c r="G95" s="164">
        <f t="shared" si="10"/>
        <v>106.25620655412116</v>
      </c>
      <c r="H95" s="169">
        <f t="shared" si="11"/>
        <v>0.0481981981981982</v>
      </c>
      <c r="I95" s="6"/>
      <c r="J95" s="473"/>
      <c r="K95" s="516"/>
      <c r="L95" s="11"/>
      <c r="M95" s="11"/>
    </row>
    <row r="96" spans="1:13" ht="12.75" customHeight="1">
      <c r="A96" s="148" t="s">
        <v>23</v>
      </c>
      <c r="B96" s="151"/>
      <c r="C96" s="81">
        <v>412700</v>
      </c>
      <c r="D96" s="151" t="s">
        <v>107</v>
      </c>
      <c r="E96" s="171">
        <v>6670</v>
      </c>
      <c r="F96" s="171">
        <v>7300</v>
      </c>
      <c r="G96" s="167">
        <f t="shared" si="10"/>
        <v>109.44527736131934</v>
      </c>
      <c r="H96" s="85">
        <f t="shared" si="11"/>
        <v>0.03288288288288289</v>
      </c>
      <c r="I96" s="6"/>
      <c r="J96" s="473"/>
      <c r="K96" s="516"/>
      <c r="L96" s="11"/>
      <c r="M96" s="11"/>
    </row>
    <row r="97" spans="1:13" ht="12.75" customHeight="1">
      <c r="A97" s="148" t="s">
        <v>23</v>
      </c>
      <c r="B97" s="151"/>
      <c r="C97" s="81">
        <v>412900</v>
      </c>
      <c r="D97" s="103" t="s">
        <v>0</v>
      </c>
      <c r="E97" s="171">
        <v>400</v>
      </c>
      <c r="F97" s="171">
        <v>400</v>
      </c>
      <c r="G97" s="167">
        <f t="shared" si="10"/>
        <v>100</v>
      </c>
      <c r="H97" s="85">
        <f t="shared" si="11"/>
        <v>0.0018018018018018018</v>
      </c>
      <c r="I97" s="6"/>
      <c r="J97" s="473"/>
      <c r="K97" s="473"/>
      <c r="L97" s="11"/>
      <c r="M97" s="11"/>
    </row>
    <row r="98" spans="1:13" ht="12.75" customHeight="1">
      <c r="A98" s="148" t="s">
        <v>23</v>
      </c>
      <c r="B98" s="151"/>
      <c r="C98" s="81">
        <v>412900</v>
      </c>
      <c r="D98" s="103" t="s">
        <v>145</v>
      </c>
      <c r="E98" s="171">
        <v>3000</v>
      </c>
      <c r="F98" s="171">
        <v>3000</v>
      </c>
      <c r="G98" s="167">
        <f t="shared" si="10"/>
        <v>100</v>
      </c>
      <c r="H98" s="85">
        <f t="shared" si="11"/>
        <v>0.013513513513513514</v>
      </c>
      <c r="I98" s="6"/>
      <c r="J98" s="473"/>
      <c r="K98" s="473"/>
      <c r="L98" s="11"/>
      <c r="M98" s="11"/>
    </row>
    <row r="99" spans="1:13" ht="25.5">
      <c r="A99" s="148"/>
      <c r="B99" s="67">
        <v>418000</v>
      </c>
      <c r="C99" s="81"/>
      <c r="D99" s="162" t="s">
        <v>418</v>
      </c>
      <c r="E99" s="203">
        <f>SUM(E100)</f>
        <v>8000</v>
      </c>
      <c r="F99" s="203">
        <f>SUM(F100)</f>
        <v>8000</v>
      </c>
      <c r="G99" s="164">
        <f t="shared" si="10"/>
        <v>100</v>
      </c>
      <c r="H99" s="169">
        <f t="shared" si="11"/>
        <v>0.036036036036036036</v>
      </c>
      <c r="I99" s="6"/>
      <c r="J99" s="473"/>
      <c r="K99" s="473"/>
      <c r="L99" s="11"/>
      <c r="M99" s="11"/>
    </row>
    <row r="100" spans="1:13" ht="16.5" customHeight="1">
      <c r="A100" s="148" t="s">
        <v>23</v>
      </c>
      <c r="B100" s="151"/>
      <c r="C100" s="81">
        <v>418200</v>
      </c>
      <c r="D100" s="103" t="s">
        <v>146</v>
      </c>
      <c r="E100" s="173">
        <v>8000</v>
      </c>
      <c r="F100" s="173">
        <v>8000</v>
      </c>
      <c r="G100" s="167">
        <f t="shared" si="10"/>
        <v>100</v>
      </c>
      <c r="H100" s="85">
        <f t="shared" si="11"/>
        <v>0.036036036036036036</v>
      </c>
      <c r="I100" s="6"/>
      <c r="J100" s="473"/>
      <c r="K100" s="473"/>
      <c r="L100" s="11"/>
      <c r="M100" s="11"/>
    </row>
    <row r="101" spans="1:13" ht="16.5" customHeight="1">
      <c r="A101" s="155"/>
      <c r="B101" s="67">
        <v>638000</v>
      </c>
      <c r="C101" s="81"/>
      <c r="D101" s="162" t="s">
        <v>327</v>
      </c>
      <c r="E101" s="203">
        <f>SUM(E102)</f>
        <v>99000</v>
      </c>
      <c r="F101" s="203">
        <f>SUM(F102)</f>
        <v>142000</v>
      </c>
      <c r="G101" s="164">
        <f t="shared" si="10"/>
        <v>143.43434343434342</v>
      </c>
      <c r="H101" s="169">
        <f t="shared" si="11"/>
        <v>0.6396396396396397</v>
      </c>
      <c r="I101" s="6"/>
      <c r="J101" s="473"/>
      <c r="K101" s="473"/>
      <c r="L101" s="11"/>
      <c r="M101" s="11"/>
    </row>
    <row r="102" spans="1:13" ht="28.5" customHeight="1">
      <c r="A102" s="148"/>
      <c r="B102" s="151"/>
      <c r="C102" s="81">
        <v>638100</v>
      </c>
      <c r="D102" s="103" t="s">
        <v>328</v>
      </c>
      <c r="E102" s="173">
        <v>99000</v>
      </c>
      <c r="F102" s="173">
        <v>142000</v>
      </c>
      <c r="G102" s="167">
        <f t="shared" si="10"/>
        <v>143.43434343434342</v>
      </c>
      <c r="H102" s="85">
        <f t="shared" si="11"/>
        <v>0.6396396396396397</v>
      </c>
      <c r="I102" s="360"/>
      <c r="J102" s="473"/>
      <c r="K102" s="473"/>
      <c r="L102" s="11"/>
      <c r="M102" s="11"/>
    </row>
    <row r="103" spans="1:13" ht="30" customHeight="1">
      <c r="A103" s="526"/>
      <c r="B103" s="527"/>
      <c r="C103" s="517" t="s">
        <v>77</v>
      </c>
      <c r="D103" s="518"/>
      <c r="E103" s="187">
        <f>E90+E95+E99+E101</f>
        <v>3832070</v>
      </c>
      <c r="F103" s="187">
        <f>F90+F95+F99+F101</f>
        <v>4169700</v>
      </c>
      <c r="G103" s="451">
        <f t="shared" si="10"/>
        <v>108.81064281184842</v>
      </c>
      <c r="H103" s="188">
        <f t="shared" si="11"/>
        <v>18.782432432432433</v>
      </c>
      <c r="I103" s="19"/>
      <c r="J103" s="473"/>
      <c r="K103" s="473"/>
      <c r="L103" s="12"/>
      <c r="M103" s="11"/>
    </row>
    <row r="104" spans="1:13" ht="9.75" customHeight="1">
      <c r="A104" s="524"/>
      <c r="B104" s="525"/>
      <c r="C104" s="521" t="s">
        <v>646</v>
      </c>
      <c r="D104" s="540"/>
      <c r="E104" s="217"/>
      <c r="F104" s="217"/>
      <c r="G104" s="217"/>
      <c r="H104" s="218"/>
      <c r="I104" s="19"/>
      <c r="J104" s="516"/>
      <c r="K104" s="473"/>
      <c r="L104" s="11"/>
      <c r="M104" s="11"/>
    </row>
    <row r="105" spans="1:13" ht="9.75" customHeight="1">
      <c r="A105" s="524"/>
      <c r="B105" s="525"/>
      <c r="C105" s="521"/>
      <c r="D105" s="540"/>
      <c r="E105" s="225"/>
      <c r="F105" s="225"/>
      <c r="G105" s="219"/>
      <c r="H105" s="220"/>
      <c r="I105" s="19"/>
      <c r="J105" s="516"/>
      <c r="K105" s="473"/>
      <c r="L105" s="11"/>
      <c r="M105" s="11"/>
    </row>
    <row r="106" spans="1:13" ht="9.75" customHeight="1">
      <c r="A106" s="524"/>
      <c r="B106" s="525"/>
      <c r="C106" s="521"/>
      <c r="D106" s="540"/>
      <c r="E106" s="219"/>
      <c r="F106" s="219"/>
      <c r="G106" s="219"/>
      <c r="H106" s="220"/>
      <c r="I106" s="19"/>
      <c r="J106" s="516"/>
      <c r="K106" s="473"/>
      <c r="L106" s="11"/>
      <c r="M106" s="11"/>
    </row>
    <row r="107" spans="1:13" ht="19.5" customHeight="1">
      <c r="A107" s="524"/>
      <c r="B107" s="525"/>
      <c r="C107" s="521"/>
      <c r="D107" s="540"/>
      <c r="E107" s="221"/>
      <c r="F107" s="221"/>
      <c r="G107" s="221"/>
      <c r="H107" s="222"/>
      <c r="I107" s="19"/>
      <c r="J107" s="516"/>
      <c r="K107" s="473"/>
      <c r="L107" s="11"/>
      <c r="M107" s="11"/>
    </row>
    <row r="108" spans="1:13" ht="14.25" customHeight="1">
      <c r="A108" s="148"/>
      <c r="B108" s="67">
        <v>412000</v>
      </c>
      <c r="C108" s="81"/>
      <c r="D108" s="162" t="s">
        <v>120</v>
      </c>
      <c r="E108" s="164">
        <f>SUM(E109:E111)</f>
        <v>53400</v>
      </c>
      <c r="F108" s="164">
        <f>SUM(F109:F111)</f>
        <v>53400</v>
      </c>
      <c r="G108" s="164">
        <f aca="true" t="shared" si="12" ref="G108:G141">F108/E108*100</f>
        <v>100</v>
      </c>
      <c r="H108" s="165">
        <f>F108/$F$587*100</f>
        <v>0.24054054054054053</v>
      </c>
      <c r="I108" s="19"/>
      <c r="J108" s="473"/>
      <c r="K108" s="473"/>
      <c r="L108" s="11"/>
      <c r="M108" s="11"/>
    </row>
    <row r="109" spans="1:13" ht="13.5" customHeight="1">
      <c r="A109" s="148" t="s">
        <v>23</v>
      </c>
      <c r="B109" s="74"/>
      <c r="C109" s="151">
        <v>412700</v>
      </c>
      <c r="D109" s="103" t="s">
        <v>97</v>
      </c>
      <c r="E109" s="173">
        <v>50000</v>
      </c>
      <c r="F109" s="173">
        <v>50000</v>
      </c>
      <c r="G109" s="167">
        <f t="shared" si="12"/>
        <v>100</v>
      </c>
      <c r="H109" s="85">
        <f>F109/$F$587*100</f>
        <v>0.22522522522522523</v>
      </c>
      <c r="I109" s="6"/>
      <c r="J109" s="473"/>
      <c r="K109" s="473"/>
      <c r="L109" s="11"/>
      <c r="M109" s="11"/>
    </row>
    <row r="110" spans="1:13" ht="16.5" customHeight="1">
      <c r="A110" s="148" t="s">
        <v>32</v>
      </c>
      <c r="B110" s="74"/>
      <c r="C110" s="151">
        <v>412700</v>
      </c>
      <c r="D110" s="103" t="s">
        <v>430</v>
      </c>
      <c r="E110" s="171">
        <v>3000</v>
      </c>
      <c r="F110" s="171">
        <v>3000</v>
      </c>
      <c r="G110" s="167">
        <f t="shared" si="12"/>
        <v>100</v>
      </c>
      <c r="H110" s="85">
        <f>F110/$F$587*100</f>
        <v>0.013513513513513514</v>
      </c>
      <c r="I110" s="6"/>
      <c r="J110" s="473"/>
      <c r="K110" s="473"/>
      <c r="L110" s="11"/>
      <c r="M110" s="11"/>
    </row>
    <row r="111" spans="1:13" ht="12.75" customHeight="1">
      <c r="A111" s="148" t="s">
        <v>23</v>
      </c>
      <c r="B111" s="151"/>
      <c r="C111" s="81">
        <v>412900</v>
      </c>
      <c r="D111" s="103" t="s">
        <v>24</v>
      </c>
      <c r="E111" s="171">
        <v>400</v>
      </c>
      <c r="F111" s="171">
        <v>400</v>
      </c>
      <c r="G111" s="167">
        <f t="shared" si="12"/>
        <v>100</v>
      </c>
      <c r="H111" s="85">
        <f>F111/$F$587*100</f>
        <v>0.0018018018018018018</v>
      </c>
      <c r="I111" s="6"/>
      <c r="J111" s="473"/>
      <c r="K111" s="473"/>
      <c r="L111" s="11"/>
      <c r="M111" s="11"/>
    </row>
    <row r="112" spans="1:13" ht="12.75" customHeight="1" hidden="1">
      <c r="A112" s="148"/>
      <c r="B112" s="67">
        <v>414000</v>
      </c>
      <c r="C112" s="81"/>
      <c r="D112" s="162" t="s">
        <v>175</v>
      </c>
      <c r="E112" s="164">
        <f>SUM(E113:E113)</f>
        <v>0</v>
      </c>
      <c r="F112" s="164">
        <f>SUM(F113:F113)</f>
        <v>0</v>
      </c>
      <c r="G112" s="164" t="e">
        <f t="shared" si="12"/>
        <v>#DIV/0!</v>
      </c>
      <c r="H112" s="165">
        <f>F112/$F$587*100</f>
        <v>0</v>
      </c>
      <c r="I112" s="6"/>
      <c r="J112" s="473"/>
      <c r="K112" s="473"/>
      <c r="L112" s="11"/>
      <c r="M112" s="11"/>
    </row>
    <row r="113" spans="1:13" ht="12.75" customHeight="1" hidden="1">
      <c r="A113" s="148" t="s">
        <v>408</v>
      </c>
      <c r="B113" s="151"/>
      <c r="C113" s="81">
        <v>414100</v>
      </c>
      <c r="D113" s="103" t="s">
        <v>474</v>
      </c>
      <c r="E113" s="171">
        <v>0</v>
      </c>
      <c r="F113" s="171">
        <v>0</v>
      </c>
      <c r="G113" s="167" t="e">
        <f t="shared" si="12"/>
        <v>#DIV/0!</v>
      </c>
      <c r="H113" s="85"/>
      <c r="I113" s="6"/>
      <c r="J113" s="473"/>
      <c r="K113" s="473"/>
      <c r="L113" s="11"/>
      <c r="M113" s="11"/>
    </row>
    <row r="114" spans="1:13" ht="14.25" customHeight="1">
      <c r="A114" s="148"/>
      <c r="B114" s="67">
        <v>415000</v>
      </c>
      <c r="C114" s="151"/>
      <c r="D114" s="162" t="s">
        <v>134</v>
      </c>
      <c r="E114" s="203">
        <f>SUM(E115:E145)</f>
        <v>1023500</v>
      </c>
      <c r="F114" s="203">
        <f>SUM(F115:F145)</f>
        <v>875500</v>
      </c>
      <c r="G114" s="164">
        <f t="shared" si="12"/>
        <v>85.53981436248168</v>
      </c>
      <c r="H114" s="169">
        <f aca="true" t="shared" si="13" ref="H114:H162">F114/$F$587*100</f>
        <v>3.9436936936936937</v>
      </c>
      <c r="I114" s="6"/>
      <c r="J114" s="473"/>
      <c r="K114" s="473"/>
      <c r="L114" s="11"/>
      <c r="M114" s="11"/>
    </row>
    <row r="115" spans="1:13" ht="12.75" customHeight="1">
      <c r="A115" s="148" t="s">
        <v>26</v>
      </c>
      <c r="B115" s="151"/>
      <c r="C115" s="81">
        <v>415200</v>
      </c>
      <c r="D115" s="103" t="s">
        <v>203</v>
      </c>
      <c r="E115" s="173">
        <v>20000</v>
      </c>
      <c r="F115" s="173">
        <v>20000</v>
      </c>
      <c r="G115" s="167">
        <f t="shared" si="12"/>
        <v>100</v>
      </c>
      <c r="H115" s="85">
        <f t="shared" si="13"/>
        <v>0.09009009009009009</v>
      </c>
      <c r="I115" s="6"/>
      <c r="J115" s="473"/>
      <c r="K115" s="473"/>
      <c r="L115" s="11"/>
      <c r="M115" s="11"/>
    </row>
    <row r="116" spans="1:13" ht="12.75" customHeight="1">
      <c r="A116" s="148" t="s">
        <v>28</v>
      </c>
      <c r="B116" s="151"/>
      <c r="C116" s="81">
        <v>415200</v>
      </c>
      <c r="D116" s="103" t="s">
        <v>29</v>
      </c>
      <c r="E116" s="173">
        <v>30000</v>
      </c>
      <c r="F116" s="173">
        <v>30000</v>
      </c>
      <c r="G116" s="167">
        <f t="shared" si="12"/>
        <v>100</v>
      </c>
      <c r="H116" s="85">
        <f t="shared" si="13"/>
        <v>0.13513513513513514</v>
      </c>
      <c r="I116" s="6"/>
      <c r="J116" s="473"/>
      <c r="K116" s="473"/>
      <c r="L116" s="11"/>
      <c r="M116" s="11"/>
    </row>
    <row r="117" spans="1:13" ht="15.75" customHeight="1" hidden="1">
      <c r="A117" s="148" t="s">
        <v>28</v>
      </c>
      <c r="B117" s="151"/>
      <c r="C117" s="81">
        <v>415200</v>
      </c>
      <c r="D117" s="103" t="s">
        <v>484</v>
      </c>
      <c r="E117" s="173"/>
      <c r="F117" s="173"/>
      <c r="G117" s="167" t="e">
        <f t="shared" si="12"/>
        <v>#DIV/0!</v>
      </c>
      <c r="H117" s="85">
        <f t="shared" si="13"/>
        <v>0</v>
      </c>
      <c r="I117" s="6"/>
      <c r="J117" s="473"/>
      <c r="K117" s="473"/>
      <c r="L117" s="11"/>
      <c r="M117" s="11"/>
    </row>
    <row r="118" spans="1:13" ht="12.75" customHeight="1">
      <c r="A118" s="148" t="s">
        <v>30</v>
      </c>
      <c r="B118" s="151"/>
      <c r="C118" s="81">
        <v>415200</v>
      </c>
      <c r="D118" s="108" t="s">
        <v>242</v>
      </c>
      <c r="E118" s="173">
        <v>350000</v>
      </c>
      <c r="F118" s="216">
        <v>360000</v>
      </c>
      <c r="G118" s="167">
        <f t="shared" si="12"/>
        <v>102.85714285714285</v>
      </c>
      <c r="H118" s="85">
        <f t="shared" si="13"/>
        <v>1.6216216216216217</v>
      </c>
      <c r="I118" s="6"/>
      <c r="J118" s="473"/>
      <c r="K118" s="473"/>
      <c r="L118" s="11"/>
      <c r="M118" s="11"/>
    </row>
    <row r="119" spans="1:13" ht="12.75" hidden="1">
      <c r="A119" s="148" t="s">
        <v>30</v>
      </c>
      <c r="B119" s="151"/>
      <c r="C119" s="81">
        <v>415200</v>
      </c>
      <c r="D119" s="108" t="s">
        <v>485</v>
      </c>
      <c r="E119" s="173">
        <v>0</v>
      </c>
      <c r="F119" s="173"/>
      <c r="G119" s="167" t="e">
        <f t="shared" si="12"/>
        <v>#DIV/0!</v>
      </c>
      <c r="H119" s="85">
        <f t="shared" si="13"/>
        <v>0</v>
      </c>
      <c r="I119" s="6"/>
      <c r="J119" s="473"/>
      <c r="K119" s="473"/>
      <c r="L119" s="11"/>
      <c r="M119" s="11"/>
    </row>
    <row r="120" spans="1:13" ht="10.5" customHeight="1">
      <c r="A120" s="148" t="s">
        <v>31</v>
      </c>
      <c r="B120" s="151"/>
      <c r="C120" s="81">
        <v>415200</v>
      </c>
      <c r="D120" s="103" t="s">
        <v>108</v>
      </c>
      <c r="E120" s="173">
        <v>23000</v>
      </c>
      <c r="F120" s="173">
        <v>23000</v>
      </c>
      <c r="G120" s="167">
        <f t="shared" si="12"/>
        <v>100</v>
      </c>
      <c r="H120" s="85">
        <f t="shared" si="13"/>
        <v>0.10360360360360361</v>
      </c>
      <c r="I120" s="6"/>
      <c r="J120" s="473"/>
      <c r="K120" s="473"/>
      <c r="L120" s="11"/>
      <c r="M120" s="11"/>
    </row>
    <row r="121" spans="1:13" ht="9" customHeight="1" hidden="1">
      <c r="A121" s="148" t="s">
        <v>31</v>
      </c>
      <c r="B121" s="151"/>
      <c r="C121" s="81">
        <v>415200</v>
      </c>
      <c r="D121" s="103" t="s">
        <v>486</v>
      </c>
      <c r="E121" s="173">
        <v>0</v>
      </c>
      <c r="F121" s="173"/>
      <c r="G121" s="167" t="e">
        <f t="shared" si="12"/>
        <v>#DIV/0!</v>
      </c>
      <c r="H121" s="85">
        <f t="shared" si="13"/>
        <v>0</v>
      </c>
      <c r="I121" s="6"/>
      <c r="J121" s="473"/>
      <c r="K121" s="473"/>
      <c r="L121" s="11"/>
      <c r="M121" s="11"/>
    </row>
    <row r="122" spans="1:13" ht="13.5" customHeight="1">
      <c r="A122" s="150" t="s">
        <v>28</v>
      </c>
      <c r="B122" s="151"/>
      <c r="C122" s="81">
        <v>415200</v>
      </c>
      <c r="D122" s="103" t="s">
        <v>347</v>
      </c>
      <c r="E122" s="173">
        <v>6000</v>
      </c>
      <c r="F122" s="173">
        <v>6000</v>
      </c>
      <c r="G122" s="167">
        <f t="shared" si="12"/>
        <v>100</v>
      </c>
      <c r="H122" s="85">
        <f t="shared" si="13"/>
        <v>0.02702702702702703</v>
      </c>
      <c r="I122" s="6"/>
      <c r="J122" s="473"/>
      <c r="K122" s="473"/>
      <c r="L122" s="11"/>
      <c r="M122" s="11"/>
    </row>
    <row r="123" spans="1:13" ht="13.5" customHeight="1" hidden="1">
      <c r="A123" s="150" t="s">
        <v>28</v>
      </c>
      <c r="B123" s="151"/>
      <c r="C123" s="81">
        <v>415200</v>
      </c>
      <c r="D123" s="103" t="s">
        <v>487</v>
      </c>
      <c r="E123" s="173"/>
      <c r="F123" s="173"/>
      <c r="G123" s="167" t="e">
        <f t="shared" si="12"/>
        <v>#DIV/0!</v>
      </c>
      <c r="H123" s="85">
        <f t="shared" si="13"/>
        <v>0</v>
      </c>
      <c r="I123" s="6"/>
      <c r="J123" s="473"/>
      <c r="K123" s="473"/>
      <c r="L123" s="11"/>
      <c r="M123" s="11"/>
    </row>
    <row r="124" spans="1:13" ht="12.75">
      <c r="A124" s="150" t="s">
        <v>28</v>
      </c>
      <c r="B124" s="151"/>
      <c r="C124" s="81">
        <v>415200</v>
      </c>
      <c r="D124" s="103" t="s">
        <v>349</v>
      </c>
      <c r="E124" s="173">
        <v>9000</v>
      </c>
      <c r="F124" s="173">
        <v>9000</v>
      </c>
      <c r="G124" s="167">
        <f t="shared" si="12"/>
        <v>100</v>
      </c>
      <c r="H124" s="85">
        <f t="shared" si="13"/>
        <v>0.040540540540540536</v>
      </c>
      <c r="I124" s="6"/>
      <c r="J124" s="473"/>
      <c r="K124" s="473"/>
      <c r="L124" s="11"/>
      <c r="M124" s="11"/>
    </row>
    <row r="125" spans="1:13" ht="13.5" customHeight="1">
      <c r="A125" s="150" t="s">
        <v>350</v>
      </c>
      <c r="B125" s="151"/>
      <c r="C125" s="81">
        <v>415200</v>
      </c>
      <c r="D125" s="103" t="s">
        <v>348</v>
      </c>
      <c r="E125" s="173">
        <v>6000</v>
      </c>
      <c r="F125" s="173">
        <v>6000</v>
      </c>
      <c r="G125" s="167">
        <f t="shared" si="12"/>
        <v>100</v>
      </c>
      <c r="H125" s="85">
        <f t="shared" si="13"/>
        <v>0.02702702702702703</v>
      </c>
      <c r="I125" s="6"/>
      <c r="J125" s="473"/>
      <c r="K125" s="473"/>
      <c r="L125" s="11"/>
      <c r="M125" s="11"/>
    </row>
    <row r="126" spans="1:13" ht="12.75" customHeight="1">
      <c r="A126" s="148" t="s">
        <v>31</v>
      </c>
      <c r="B126" s="151"/>
      <c r="C126" s="81">
        <v>415200</v>
      </c>
      <c r="D126" s="103" t="s">
        <v>109</v>
      </c>
      <c r="E126" s="173">
        <v>20000</v>
      </c>
      <c r="F126" s="173">
        <v>20000</v>
      </c>
      <c r="G126" s="167">
        <f t="shared" si="12"/>
        <v>100</v>
      </c>
      <c r="H126" s="85">
        <f t="shared" si="13"/>
        <v>0.09009009009009009</v>
      </c>
      <c r="I126" s="6"/>
      <c r="J126" s="473"/>
      <c r="K126" s="473"/>
      <c r="L126" s="11"/>
      <c r="M126" s="11"/>
    </row>
    <row r="127" spans="1:13" ht="14.25" customHeight="1" hidden="1">
      <c r="A127" s="148" t="s">
        <v>31</v>
      </c>
      <c r="B127" s="151"/>
      <c r="C127" s="81">
        <v>415200</v>
      </c>
      <c r="D127" s="103" t="s">
        <v>488</v>
      </c>
      <c r="E127" s="173">
        <v>0</v>
      </c>
      <c r="F127" s="173"/>
      <c r="G127" s="167" t="e">
        <f t="shared" si="12"/>
        <v>#DIV/0!</v>
      </c>
      <c r="H127" s="85">
        <f t="shared" si="13"/>
        <v>0</v>
      </c>
      <c r="I127" s="6"/>
      <c r="J127" s="473"/>
      <c r="K127" s="473"/>
      <c r="L127" s="11"/>
      <c r="M127" s="11"/>
    </row>
    <row r="128" spans="1:13" ht="25.5">
      <c r="A128" s="148" t="s">
        <v>31</v>
      </c>
      <c r="B128" s="151"/>
      <c r="C128" s="81">
        <v>415200</v>
      </c>
      <c r="D128" s="103" t="s">
        <v>278</v>
      </c>
      <c r="E128" s="173">
        <v>5000</v>
      </c>
      <c r="F128" s="173">
        <v>5000</v>
      </c>
      <c r="G128" s="167">
        <f t="shared" si="12"/>
        <v>100</v>
      </c>
      <c r="H128" s="85">
        <f t="shared" si="13"/>
        <v>0.02252252252252252</v>
      </c>
      <c r="I128" s="6"/>
      <c r="J128" s="473"/>
      <c r="K128" s="473"/>
      <c r="L128" s="11"/>
      <c r="M128" s="11"/>
    </row>
    <row r="129" spans="1:13" ht="25.5" hidden="1">
      <c r="A129" s="148" t="s">
        <v>28</v>
      </c>
      <c r="B129" s="151"/>
      <c r="C129" s="226">
        <v>415200</v>
      </c>
      <c r="D129" s="144" t="s">
        <v>477</v>
      </c>
      <c r="E129" s="173">
        <v>0</v>
      </c>
      <c r="F129" s="173"/>
      <c r="G129" s="167" t="e">
        <f t="shared" si="12"/>
        <v>#DIV/0!</v>
      </c>
      <c r="H129" s="85">
        <f t="shared" si="13"/>
        <v>0</v>
      </c>
      <c r="I129" s="6"/>
      <c r="J129" s="473"/>
      <c r="K129" s="473"/>
      <c r="L129" s="11"/>
      <c r="M129" s="11"/>
    </row>
    <row r="130" spans="1:13" ht="13.5" customHeight="1">
      <c r="A130" s="148" t="s">
        <v>28</v>
      </c>
      <c r="B130" s="151"/>
      <c r="C130" s="81">
        <v>415200</v>
      </c>
      <c r="D130" s="103" t="s">
        <v>439</v>
      </c>
      <c r="E130" s="173">
        <v>1500</v>
      </c>
      <c r="F130" s="173">
        <v>1500</v>
      </c>
      <c r="G130" s="167">
        <f t="shared" si="12"/>
        <v>100</v>
      </c>
      <c r="H130" s="85">
        <f t="shared" si="13"/>
        <v>0.006756756756756757</v>
      </c>
      <c r="I130" s="6"/>
      <c r="J130" s="473"/>
      <c r="K130" s="473"/>
      <c r="L130" s="11"/>
      <c r="M130" s="11"/>
    </row>
    <row r="131" spans="1:13" ht="12.75" customHeight="1">
      <c r="A131" s="148" t="s">
        <v>31</v>
      </c>
      <c r="B131" s="151"/>
      <c r="C131" s="81">
        <v>415200</v>
      </c>
      <c r="D131" s="103" t="s">
        <v>93</v>
      </c>
      <c r="E131" s="173">
        <v>30000</v>
      </c>
      <c r="F131" s="173">
        <v>30000</v>
      </c>
      <c r="G131" s="167">
        <f t="shared" si="12"/>
        <v>100</v>
      </c>
      <c r="H131" s="85">
        <f t="shared" si="13"/>
        <v>0.13513513513513514</v>
      </c>
      <c r="I131" s="6"/>
      <c r="J131" s="473"/>
      <c r="K131" s="473"/>
      <c r="L131" s="11"/>
      <c r="M131" s="11"/>
    </row>
    <row r="132" spans="1:13" ht="15.75" customHeight="1" hidden="1">
      <c r="A132" s="148" t="s">
        <v>31</v>
      </c>
      <c r="B132" s="151"/>
      <c r="C132" s="81">
        <v>415200</v>
      </c>
      <c r="D132" s="103" t="s">
        <v>489</v>
      </c>
      <c r="E132" s="173"/>
      <c r="F132" s="173"/>
      <c r="G132" s="167" t="e">
        <f t="shared" si="12"/>
        <v>#DIV/0!</v>
      </c>
      <c r="H132" s="85">
        <f t="shared" si="13"/>
        <v>0</v>
      </c>
      <c r="I132" s="6"/>
      <c r="J132" s="473"/>
      <c r="K132" s="473"/>
      <c r="L132" s="11"/>
      <c r="M132" s="11"/>
    </row>
    <row r="133" spans="1:13" ht="15" customHeight="1">
      <c r="A133" s="148" t="s">
        <v>42</v>
      </c>
      <c r="B133" s="67"/>
      <c r="C133" s="81">
        <v>415200</v>
      </c>
      <c r="D133" s="90" t="s">
        <v>190</v>
      </c>
      <c r="E133" s="173">
        <v>130000</v>
      </c>
      <c r="F133" s="216">
        <v>150000</v>
      </c>
      <c r="G133" s="167">
        <f t="shared" si="12"/>
        <v>115.38461538461537</v>
      </c>
      <c r="H133" s="85">
        <f t="shared" si="13"/>
        <v>0.6756756756756757</v>
      </c>
      <c r="I133" s="6"/>
      <c r="J133" s="473"/>
      <c r="K133" s="473"/>
      <c r="L133" s="11"/>
      <c r="M133" s="11"/>
    </row>
    <row r="134" spans="1:13" ht="0.75" customHeight="1" hidden="1">
      <c r="A134" s="148" t="s">
        <v>42</v>
      </c>
      <c r="B134" s="67"/>
      <c r="C134" s="81">
        <v>415200</v>
      </c>
      <c r="D134" s="108" t="s">
        <v>490</v>
      </c>
      <c r="E134" s="173">
        <v>0</v>
      </c>
      <c r="F134" s="173"/>
      <c r="G134" s="167" t="e">
        <f t="shared" si="12"/>
        <v>#DIV/0!</v>
      </c>
      <c r="H134" s="85">
        <f t="shared" si="13"/>
        <v>0</v>
      </c>
      <c r="I134" s="6"/>
      <c r="J134" s="473"/>
      <c r="K134" s="473"/>
      <c r="L134" s="11"/>
      <c r="M134" s="11"/>
    </row>
    <row r="135" spans="1:13" ht="12.75">
      <c r="A135" s="148" t="s">
        <v>32</v>
      </c>
      <c r="B135" s="151"/>
      <c r="C135" s="226">
        <v>415200</v>
      </c>
      <c r="D135" s="103" t="s">
        <v>91</v>
      </c>
      <c r="E135" s="173">
        <v>200000</v>
      </c>
      <c r="F135" s="173">
        <v>0</v>
      </c>
      <c r="G135" s="167">
        <f t="shared" si="12"/>
        <v>0</v>
      </c>
      <c r="H135" s="85">
        <f t="shared" si="13"/>
        <v>0</v>
      </c>
      <c r="I135" s="6"/>
      <c r="J135" s="473"/>
      <c r="K135" s="473"/>
      <c r="L135" s="11"/>
      <c r="M135" s="11"/>
    </row>
    <row r="136" spans="1:13" ht="12.75">
      <c r="A136" s="150" t="s">
        <v>419</v>
      </c>
      <c r="B136" s="223"/>
      <c r="C136" s="226">
        <v>415200</v>
      </c>
      <c r="D136" s="108" t="s">
        <v>674</v>
      </c>
      <c r="E136" s="173">
        <v>10000</v>
      </c>
      <c r="F136" s="173">
        <v>20000</v>
      </c>
      <c r="G136" s="167">
        <f t="shared" si="12"/>
        <v>200</v>
      </c>
      <c r="H136" s="85">
        <f t="shared" si="13"/>
        <v>0.09009009009009009</v>
      </c>
      <c r="I136" s="6"/>
      <c r="J136" s="473"/>
      <c r="K136" s="473"/>
      <c r="L136" s="11"/>
      <c r="M136" s="11"/>
    </row>
    <row r="137" spans="1:13" ht="23.25" customHeight="1">
      <c r="A137" s="150" t="s">
        <v>28</v>
      </c>
      <c r="B137" s="223"/>
      <c r="C137" s="112">
        <v>415200</v>
      </c>
      <c r="D137" s="108" t="s">
        <v>212</v>
      </c>
      <c r="E137" s="173">
        <v>60000</v>
      </c>
      <c r="F137" s="173">
        <v>60000</v>
      </c>
      <c r="G137" s="167">
        <f t="shared" si="12"/>
        <v>100</v>
      </c>
      <c r="H137" s="85">
        <f t="shared" si="13"/>
        <v>0.2702702702702703</v>
      </c>
      <c r="I137" s="6"/>
      <c r="J137" s="473"/>
      <c r="K137" s="473"/>
      <c r="L137" s="11"/>
      <c r="M137" s="11"/>
    </row>
    <row r="138" spans="1:13" ht="0.75" customHeight="1" hidden="1">
      <c r="A138" s="150" t="s">
        <v>28</v>
      </c>
      <c r="B138" s="223"/>
      <c r="C138" s="112">
        <v>415200</v>
      </c>
      <c r="D138" s="108" t="s">
        <v>491</v>
      </c>
      <c r="E138" s="173"/>
      <c r="F138" s="173"/>
      <c r="G138" s="167" t="e">
        <f t="shared" si="12"/>
        <v>#DIV/0!</v>
      </c>
      <c r="H138" s="85">
        <f t="shared" si="13"/>
        <v>0</v>
      </c>
      <c r="I138" s="6"/>
      <c r="J138" s="473"/>
      <c r="K138" s="473"/>
      <c r="L138" s="11"/>
      <c r="M138" s="11"/>
    </row>
    <row r="139" spans="1:13" ht="12.75" customHeight="1">
      <c r="A139" s="148" t="s">
        <v>33</v>
      </c>
      <c r="B139" s="151"/>
      <c r="C139" s="81">
        <v>415200</v>
      </c>
      <c r="D139" s="103" t="s">
        <v>92</v>
      </c>
      <c r="E139" s="173">
        <v>75000</v>
      </c>
      <c r="F139" s="173">
        <v>75000</v>
      </c>
      <c r="G139" s="167">
        <f t="shared" si="12"/>
        <v>100</v>
      </c>
      <c r="H139" s="85">
        <f t="shared" si="13"/>
        <v>0.33783783783783783</v>
      </c>
      <c r="I139" s="6"/>
      <c r="J139" s="473"/>
      <c r="K139" s="473"/>
      <c r="L139" s="11"/>
      <c r="M139" s="11"/>
    </row>
    <row r="140" spans="1:13" ht="16.5" customHeight="1" hidden="1">
      <c r="A140" s="148" t="s">
        <v>33</v>
      </c>
      <c r="B140" s="151"/>
      <c r="C140" s="81">
        <v>415200</v>
      </c>
      <c r="D140" s="103" t="s">
        <v>492</v>
      </c>
      <c r="E140" s="173"/>
      <c r="F140" s="173"/>
      <c r="G140" s="167" t="e">
        <f t="shared" si="12"/>
        <v>#DIV/0!</v>
      </c>
      <c r="H140" s="85">
        <f t="shared" si="13"/>
        <v>0</v>
      </c>
      <c r="I140" s="6"/>
      <c r="J140" s="473"/>
      <c r="K140" s="473"/>
      <c r="L140" s="11"/>
      <c r="M140" s="11"/>
    </row>
    <row r="141" spans="1:13" ht="28.5" customHeight="1">
      <c r="A141" s="275" t="s">
        <v>629</v>
      </c>
      <c r="B141" s="151"/>
      <c r="C141" s="226">
        <v>415200</v>
      </c>
      <c r="D141" s="103" t="s">
        <v>628</v>
      </c>
      <c r="E141" s="173">
        <v>0</v>
      </c>
      <c r="F141" s="173">
        <v>10000</v>
      </c>
      <c r="G141" s="167" t="e">
        <f t="shared" si="12"/>
        <v>#DIV/0!</v>
      </c>
      <c r="H141" s="85">
        <f t="shared" si="13"/>
        <v>0.04504504504504504</v>
      </c>
      <c r="I141" s="6"/>
      <c r="J141" s="473"/>
      <c r="K141" s="473"/>
      <c r="L141" s="11"/>
      <c r="M141" s="11"/>
    </row>
    <row r="142" spans="1:13" ht="38.25">
      <c r="A142" s="148" t="s">
        <v>162</v>
      </c>
      <c r="B142" s="149"/>
      <c r="C142" s="81">
        <v>415200</v>
      </c>
      <c r="D142" s="144" t="s">
        <v>675</v>
      </c>
      <c r="E142" s="173">
        <v>20000</v>
      </c>
      <c r="F142" s="173">
        <v>20000</v>
      </c>
      <c r="G142" s="167">
        <f aca="true" t="shared" si="14" ref="G142:G162">F142/E142*100</f>
        <v>100</v>
      </c>
      <c r="H142" s="85">
        <f t="shared" si="13"/>
        <v>0.09009009009009009</v>
      </c>
      <c r="I142" s="6"/>
      <c r="J142" s="473"/>
      <c r="K142" s="473"/>
      <c r="L142" s="11"/>
      <c r="M142" s="11"/>
    </row>
    <row r="143" spans="1:13" ht="12.75">
      <c r="A143" s="148" t="s">
        <v>163</v>
      </c>
      <c r="B143" s="149"/>
      <c r="C143" s="81">
        <v>415200</v>
      </c>
      <c r="D143" s="144" t="s">
        <v>450</v>
      </c>
      <c r="E143" s="173">
        <v>8000</v>
      </c>
      <c r="F143" s="216">
        <v>10000</v>
      </c>
      <c r="G143" s="167">
        <f t="shared" si="14"/>
        <v>125</v>
      </c>
      <c r="H143" s="85">
        <f t="shared" si="13"/>
        <v>0.04504504504504504</v>
      </c>
      <c r="I143" s="6"/>
      <c r="J143" s="473"/>
      <c r="K143" s="473"/>
      <c r="L143" s="11"/>
      <c r="M143" s="11"/>
    </row>
    <row r="144" spans="1:13" ht="15" customHeight="1">
      <c r="A144" s="148" t="s">
        <v>163</v>
      </c>
      <c r="B144" s="149"/>
      <c r="C144" s="81">
        <v>415200</v>
      </c>
      <c r="D144" s="144" t="s">
        <v>509</v>
      </c>
      <c r="E144" s="173">
        <v>10000</v>
      </c>
      <c r="F144" s="173">
        <v>10000</v>
      </c>
      <c r="G144" s="167">
        <f t="shared" si="14"/>
        <v>100</v>
      </c>
      <c r="H144" s="85">
        <f t="shared" si="13"/>
        <v>0.04504504504504504</v>
      </c>
      <c r="I144" s="6"/>
      <c r="J144" s="473"/>
      <c r="K144" s="473"/>
      <c r="L144" s="11"/>
      <c r="M144" s="11"/>
    </row>
    <row r="145" spans="1:13" ht="15" customHeight="1">
      <c r="A145" s="148" t="s">
        <v>524</v>
      </c>
      <c r="B145" s="149"/>
      <c r="C145" s="81">
        <v>415200</v>
      </c>
      <c r="D145" s="108" t="s">
        <v>523</v>
      </c>
      <c r="E145" s="173">
        <v>10000</v>
      </c>
      <c r="F145" s="173">
        <v>10000</v>
      </c>
      <c r="G145" s="167">
        <f t="shared" si="14"/>
        <v>100</v>
      </c>
      <c r="H145" s="85">
        <f t="shared" si="13"/>
        <v>0.04504504504504504</v>
      </c>
      <c r="I145" s="6"/>
      <c r="J145" s="473"/>
      <c r="K145" s="516"/>
      <c r="L145" s="11"/>
      <c r="M145" s="11"/>
    </row>
    <row r="146" spans="1:13" ht="14.25" customHeight="1">
      <c r="A146" s="148"/>
      <c r="B146" s="67">
        <v>416000</v>
      </c>
      <c r="C146" s="74"/>
      <c r="D146" s="162" t="s">
        <v>1</v>
      </c>
      <c r="E146" s="203">
        <f>SUM(E147:E157)</f>
        <v>383500</v>
      </c>
      <c r="F146" s="203">
        <f>SUM(F147:F157)</f>
        <v>513500</v>
      </c>
      <c r="G146" s="164">
        <f t="shared" si="14"/>
        <v>133.89830508474577</v>
      </c>
      <c r="H146" s="169">
        <f t="shared" si="13"/>
        <v>2.313063063063063</v>
      </c>
      <c r="I146" s="6"/>
      <c r="J146" s="473"/>
      <c r="K146" s="516"/>
      <c r="L146" s="11"/>
      <c r="M146" s="11"/>
    </row>
    <row r="147" spans="1:13" ht="12.75" customHeight="1">
      <c r="A147" s="150" t="s">
        <v>151</v>
      </c>
      <c r="B147" s="151"/>
      <c r="C147" s="81">
        <v>416100</v>
      </c>
      <c r="D147" s="103" t="s">
        <v>179</v>
      </c>
      <c r="E147" s="173">
        <v>300000</v>
      </c>
      <c r="F147" s="173">
        <v>300000</v>
      </c>
      <c r="G147" s="167">
        <f t="shared" si="14"/>
        <v>100</v>
      </c>
      <c r="H147" s="85">
        <f t="shared" si="13"/>
        <v>1.3513513513513513</v>
      </c>
      <c r="I147" s="6"/>
      <c r="J147" s="473"/>
      <c r="K147" s="516"/>
      <c r="L147" s="11"/>
      <c r="M147" s="11"/>
    </row>
    <row r="148" spans="1:13" ht="12.75" customHeight="1">
      <c r="A148" s="150" t="s">
        <v>151</v>
      </c>
      <c r="B148" s="151"/>
      <c r="C148" s="81">
        <v>416100</v>
      </c>
      <c r="D148" s="103" t="s">
        <v>409</v>
      </c>
      <c r="E148" s="173">
        <v>15000</v>
      </c>
      <c r="F148" s="173">
        <v>15000</v>
      </c>
      <c r="G148" s="167">
        <f t="shared" si="14"/>
        <v>100</v>
      </c>
      <c r="H148" s="85">
        <f t="shared" si="13"/>
        <v>0.06756756756756757</v>
      </c>
      <c r="I148" s="6"/>
      <c r="J148" s="473"/>
      <c r="K148" s="473"/>
      <c r="L148" s="11"/>
      <c r="M148" s="11"/>
    </row>
    <row r="149" spans="1:13" ht="12.75" customHeight="1" hidden="1">
      <c r="A149" s="150" t="s">
        <v>151</v>
      </c>
      <c r="B149" s="151"/>
      <c r="C149" s="81">
        <v>416100</v>
      </c>
      <c r="D149" s="103" t="s">
        <v>493</v>
      </c>
      <c r="E149" s="173"/>
      <c r="F149" s="173"/>
      <c r="G149" s="167" t="e">
        <f t="shared" si="14"/>
        <v>#DIV/0!</v>
      </c>
      <c r="H149" s="85">
        <f t="shared" si="13"/>
        <v>0</v>
      </c>
      <c r="I149" s="6"/>
      <c r="J149" s="473"/>
      <c r="K149" s="473"/>
      <c r="L149" s="11"/>
      <c r="M149" s="11"/>
    </row>
    <row r="150" spans="1:13" ht="12.75" customHeight="1">
      <c r="A150" s="150" t="s">
        <v>151</v>
      </c>
      <c r="B150" s="151"/>
      <c r="C150" s="81">
        <v>416100</v>
      </c>
      <c r="D150" s="103" t="s">
        <v>451</v>
      </c>
      <c r="E150" s="173">
        <v>7000</v>
      </c>
      <c r="F150" s="173">
        <v>7000</v>
      </c>
      <c r="G150" s="167">
        <f t="shared" si="14"/>
        <v>100</v>
      </c>
      <c r="H150" s="85">
        <f t="shared" si="13"/>
        <v>0.03153153153153153</v>
      </c>
      <c r="I150" s="6"/>
      <c r="J150" s="473"/>
      <c r="K150" s="473"/>
      <c r="L150" s="11"/>
      <c r="M150" s="11"/>
    </row>
    <row r="151" spans="1:13" ht="12.75" customHeight="1">
      <c r="A151" s="150" t="s">
        <v>28</v>
      </c>
      <c r="B151" s="227"/>
      <c r="C151" s="226">
        <v>416100</v>
      </c>
      <c r="D151" s="144" t="s">
        <v>98</v>
      </c>
      <c r="E151" s="173">
        <v>0</v>
      </c>
      <c r="F151" s="173">
        <v>30000</v>
      </c>
      <c r="G151" s="167">
        <v>0</v>
      </c>
      <c r="H151" s="85">
        <f t="shared" si="13"/>
        <v>0.13513513513513514</v>
      </c>
      <c r="I151" s="6"/>
      <c r="J151" s="473"/>
      <c r="K151" s="473"/>
      <c r="L151" s="11"/>
      <c r="M151" s="11"/>
    </row>
    <row r="152" spans="1:13" ht="11.25" customHeight="1" hidden="1">
      <c r="A152" s="150" t="s">
        <v>28</v>
      </c>
      <c r="B152" s="227"/>
      <c r="C152" s="81">
        <v>416100</v>
      </c>
      <c r="D152" s="144" t="s">
        <v>494</v>
      </c>
      <c r="E152" s="173">
        <v>0</v>
      </c>
      <c r="F152" s="173"/>
      <c r="G152" s="167" t="e">
        <f t="shared" si="14"/>
        <v>#DIV/0!</v>
      </c>
      <c r="H152" s="85">
        <f t="shared" si="13"/>
        <v>0</v>
      </c>
      <c r="I152" s="6"/>
      <c r="J152" s="473"/>
      <c r="K152" s="473"/>
      <c r="L152" s="11"/>
      <c r="M152" s="11"/>
    </row>
    <row r="153" spans="1:13" ht="25.5" customHeight="1">
      <c r="A153" s="150" t="s">
        <v>28</v>
      </c>
      <c r="B153" s="227"/>
      <c r="C153" s="81">
        <v>416100</v>
      </c>
      <c r="D153" s="144" t="s">
        <v>416</v>
      </c>
      <c r="E153" s="173">
        <v>1500</v>
      </c>
      <c r="F153" s="173">
        <v>1500</v>
      </c>
      <c r="G153" s="167">
        <f t="shared" si="14"/>
        <v>100</v>
      </c>
      <c r="H153" s="85">
        <f t="shared" si="13"/>
        <v>0.006756756756756757</v>
      </c>
      <c r="I153" s="6"/>
      <c r="J153" s="473"/>
      <c r="K153" s="473"/>
      <c r="L153" s="11"/>
      <c r="M153" s="11"/>
    </row>
    <row r="154" spans="1:13" ht="25.5">
      <c r="A154" s="150" t="s">
        <v>161</v>
      </c>
      <c r="B154" s="227"/>
      <c r="C154" s="81">
        <v>416100</v>
      </c>
      <c r="D154" s="144" t="s">
        <v>176</v>
      </c>
      <c r="E154" s="171">
        <v>30000</v>
      </c>
      <c r="F154" s="171">
        <v>0</v>
      </c>
      <c r="G154" s="167">
        <f t="shared" si="14"/>
        <v>0</v>
      </c>
      <c r="H154" s="85">
        <f t="shared" si="13"/>
        <v>0</v>
      </c>
      <c r="I154" s="6"/>
      <c r="J154" s="473"/>
      <c r="K154" s="473"/>
      <c r="L154" s="11"/>
      <c r="M154" s="11"/>
    </row>
    <row r="155" spans="1:13" s="455" customFormat="1" ht="12.75">
      <c r="A155" s="275" t="s">
        <v>161</v>
      </c>
      <c r="B155" s="453"/>
      <c r="C155" s="226">
        <v>416100</v>
      </c>
      <c r="D155" s="144" t="s">
        <v>673</v>
      </c>
      <c r="E155" s="167"/>
      <c r="F155" s="167">
        <v>130000</v>
      </c>
      <c r="G155" s="167"/>
      <c r="H155" s="85">
        <f t="shared" si="13"/>
        <v>0.5855855855855856</v>
      </c>
      <c r="I155" s="454"/>
      <c r="J155" s="473"/>
      <c r="K155" s="473"/>
      <c r="L155" s="12"/>
      <c r="M155" s="11"/>
    </row>
    <row r="156" spans="1:13" ht="15.75" customHeight="1">
      <c r="A156" s="150" t="s">
        <v>161</v>
      </c>
      <c r="B156" s="227"/>
      <c r="C156" s="81">
        <v>416100</v>
      </c>
      <c r="D156" s="144" t="s">
        <v>247</v>
      </c>
      <c r="E156" s="171">
        <v>15000</v>
      </c>
      <c r="F156" s="171">
        <v>15000</v>
      </c>
      <c r="G156" s="167">
        <f t="shared" si="14"/>
        <v>100</v>
      </c>
      <c r="H156" s="85">
        <f t="shared" si="13"/>
        <v>0.06756756756756757</v>
      </c>
      <c r="I156" s="6"/>
      <c r="J156" s="473"/>
      <c r="K156" s="473"/>
      <c r="L156" s="11"/>
      <c r="M156" s="11"/>
    </row>
    <row r="157" spans="1:13" ht="15.75" customHeight="1">
      <c r="A157" s="228" t="s">
        <v>161</v>
      </c>
      <c r="B157" s="227"/>
      <c r="C157" s="81">
        <v>416100</v>
      </c>
      <c r="D157" s="108" t="s">
        <v>525</v>
      </c>
      <c r="E157" s="171">
        <v>15000</v>
      </c>
      <c r="F157" s="171">
        <v>15000</v>
      </c>
      <c r="G157" s="167">
        <f t="shared" si="14"/>
        <v>100</v>
      </c>
      <c r="H157" s="85">
        <f t="shared" si="13"/>
        <v>0.06756756756756757</v>
      </c>
      <c r="I157" s="6"/>
      <c r="J157" s="473"/>
      <c r="K157" s="473"/>
      <c r="L157" s="11"/>
      <c r="M157" s="11"/>
    </row>
    <row r="158" spans="1:13" ht="15" customHeight="1">
      <c r="A158" s="228"/>
      <c r="B158" s="67">
        <v>487000</v>
      </c>
      <c r="C158" s="81"/>
      <c r="D158" s="229" t="s">
        <v>345</v>
      </c>
      <c r="E158" s="168">
        <f>SUM(E159:E161)</f>
        <v>18000</v>
      </c>
      <c r="F158" s="168">
        <f>SUM(F159:F161)</f>
        <v>18000</v>
      </c>
      <c r="G158" s="164">
        <f t="shared" si="14"/>
        <v>100</v>
      </c>
      <c r="H158" s="169">
        <f t="shared" si="13"/>
        <v>0.08108108108108107</v>
      </c>
      <c r="I158" s="6"/>
      <c r="J158" s="473"/>
      <c r="K158" s="473"/>
      <c r="L158" s="11"/>
      <c r="M158" s="11"/>
    </row>
    <row r="159" spans="1:13" ht="12" customHeight="1">
      <c r="A159" s="228" t="s">
        <v>26</v>
      </c>
      <c r="B159" s="67"/>
      <c r="C159" s="81">
        <v>487900</v>
      </c>
      <c r="D159" s="103" t="s">
        <v>147</v>
      </c>
      <c r="E159" s="173">
        <v>8000</v>
      </c>
      <c r="F159" s="173">
        <v>8000</v>
      </c>
      <c r="G159" s="167">
        <f t="shared" si="14"/>
        <v>100</v>
      </c>
      <c r="H159" s="85">
        <f t="shared" si="13"/>
        <v>0.036036036036036036</v>
      </c>
      <c r="I159" s="6"/>
      <c r="J159" s="473"/>
      <c r="K159" s="516"/>
      <c r="L159" s="11"/>
      <c r="M159" s="11"/>
    </row>
    <row r="160" spans="1:13" ht="13.5" customHeight="1" hidden="1">
      <c r="A160" s="150" t="s">
        <v>26</v>
      </c>
      <c r="B160" s="227"/>
      <c r="C160" s="81">
        <v>487900</v>
      </c>
      <c r="D160" s="103" t="s">
        <v>495</v>
      </c>
      <c r="E160" s="173">
        <v>0</v>
      </c>
      <c r="F160" s="173"/>
      <c r="G160" s="167" t="e">
        <f t="shared" si="14"/>
        <v>#DIV/0!</v>
      </c>
      <c r="H160" s="85">
        <f t="shared" si="13"/>
        <v>0</v>
      </c>
      <c r="I160" s="6"/>
      <c r="J160" s="473"/>
      <c r="K160" s="516"/>
      <c r="L160" s="11"/>
      <c r="M160" s="11"/>
    </row>
    <row r="161" spans="1:13" ht="12.75" customHeight="1">
      <c r="A161" s="148" t="s">
        <v>26</v>
      </c>
      <c r="B161" s="151"/>
      <c r="C161" s="81">
        <v>487900</v>
      </c>
      <c r="D161" s="103" t="s">
        <v>277</v>
      </c>
      <c r="E161" s="173">
        <v>10000</v>
      </c>
      <c r="F161" s="173">
        <v>10000</v>
      </c>
      <c r="G161" s="167">
        <f t="shared" si="14"/>
        <v>100</v>
      </c>
      <c r="H161" s="85">
        <f t="shared" si="13"/>
        <v>0.04504504504504504</v>
      </c>
      <c r="I161" s="6"/>
      <c r="J161" s="473"/>
      <c r="K161" s="516"/>
      <c r="L161" s="11"/>
      <c r="M161" s="11"/>
    </row>
    <row r="162" spans="1:13" ht="30" customHeight="1">
      <c r="A162" s="526"/>
      <c r="B162" s="527"/>
      <c r="C162" s="517" t="s">
        <v>209</v>
      </c>
      <c r="D162" s="518"/>
      <c r="E162" s="187">
        <f>E108+E112+E114+E146+E158</f>
        <v>1478400</v>
      </c>
      <c r="F162" s="187">
        <f>F108+F112+F114+F146+F158</f>
        <v>1460400</v>
      </c>
      <c r="G162" s="451">
        <f t="shared" si="14"/>
        <v>98.78246753246754</v>
      </c>
      <c r="H162" s="188">
        <f t="shared" si="13"/>
        <v>6.578378378378378</v>
      </c>
      <c r="I162" s="6"/>
      <c r="J162" s="473"/>
      <c r="K162" s="516"/>
      <c r="L162" s="11"/>
      <c r="M162" s="11"/>
    </row>
    <row r="163" spans="1:13" ht="9.75" customHeight="1">
      <c r="A163" s="526"/>
      <c r="B163" s="527"/>
      <c r="C163" s="521" t="s">
        <v>645</v>
      </c>
      <c r="D163" s="540"/>
      <c r="E163" s="217"/>
      <c r="F163" s="217"/>
      <c r="G163" s="217"/>
      <c r="H163" s="218"/>
      <c r="I163" s="6"/>
      <c r="J163" s="516"/>
      <c r="K163" s="473"/>
      <c r="L163" s="11"/>
      <c r="M163" s="11"/>
    </row>
    <row r="164" spans="1:13" ht="9.75" customHeight="1">
      <c r="A164" s="526"/>
      <c r="B164" s="527"/>
      <c r="C164" s="521"/>
      <c r="D164" s="540"/>
      <c r="E164" s="219"/>
      <c r="F164" s="219"/>
      <c r="G164" s="219"/>
      <c r="H164" s="220"/>
      <c r="I164" s="6"/>
      <c r="J164" s="516"/>
      <c r="K164" s="473"/>
      <c r="L164" s="11"/>
      <c r="M164" s="11"/>
    </row>
    <row r="165" spans="1:13" ht="24" customHeight="1">
      <c r="A165" s="526"/>
      <c r="B165" s="527"/>
      <c r="C165" s="521"/>
      <c r="D165" s="540"/>
      <c r="E165" s="221"/>
      <c r="F165" s="221"/>
      <c r="G165" s="221"/>
      <c r="H165" s="222"/>
      <c r="I165" s="6"/>
      <c r="J165" s="516"/>
      <c r="K165" s="473"/>
      <c r="L165" s="11"/>
      <c r="M165" s="11"/>
    </row>
    <row r="166" spans="1:13" ht="14.25" customHeight="1">
      <c r="A166" s="148"/>
      <c r="B166" s="67">
        <v>412000</v>
      </c>
      <c r="C166" s="74"/>
      <c r="D166" s="162" t="s">
        <v>120</v>
      </c>
      <c r="E166" s="164">
        <f>SUM(E167:E171)</f>
        <v>67400</v>
      </c>
      <c r="F166" s="164">
        <f>SUM(F167:F171)</f>
        <v>54900</v>
      </c>
      <c r="G166" s="164">
        <f aca="true" t="shared" si="15" ref="G166:G176">F166/E166*100</f>
        <v>81.4540059347181</v>
      </c>
      <c r="H166" s="165">
        <f aca="true" t="shared" si="16" ref="H166:H176">F166/$F$587*100</f>
        <v>0.2472972972972973</v>
      </c>
      <c r="I166" s="6"/>
      <c r="J166" s="473"/>
      <c r="K166" s="473"/>
      <c r="L166" s="11"/>
      <c r="M166" s="11"/>
    </row>
    <row r="167" spans="1:13" ht="24.75" customHeight="1">
      <c r="A167" s="148" t="s">
        <v>34</v>
      </c>
      <c r="B167" s="67"/>
      <c r="C167" s="81">
        <v>412700</v>
      </c>
      <c r="D167" s="103" t="s">
        <v>168</v>
      </c>
      <c r="E167" s="171">
        <v>15000</v>
      </c>
      <c r="F167" s="171">
        <v>12500</v>
      </c>
      <c r="G167" s="167">
        <f t="shared" si="15"/>
        <v>83.33333333333334</v>
      </c>
      <c r="H167" s="85">
        <f t="shared" si="16"/>
        <v>0.05630630630630631</v>
      </c>
      <c r="I167" s="6"/>
      <c r="J167" s="473"/>
      <c r="K167" s="473"/>
      <c r="L167" s="11"/>
      <c r="M167" s="11"/>
    </row>
    <row r="168" spans="1:13" ht="25.5" customHeight="1">
      <c r="A168" s="148" t="s">
        <v>34</v>
      </c>
      <c r="B168" s="67"/>
      <c r="C168" s="81">
        <v>412700</v>
      </c>
      <c r="D168" s="103" t="s">
        <v>100</v>
      </c>
      <c r="E168" s="173">
        <v>20000</v>
      </c>
      <c r="F168" s="216">
        <v>20000</v>
      </c>
      <c r="G168" s="167">
        <f t="shared" si="15"/>
        <v>100</v>
      </c>
      <c r="H168" s="85">
        <f t="shared" si="16"/>
        <v>0.09009009009009009</v>
      </c>
      <c r="I168" s="6"/>
      <c r="J168" s="473"/>
      <c r="K168" s="473"/>
      <c r="L168" s="11"/>
      <c r="M168" s="11"/>
    </row>
    <row r="169" spans="1:13" ht="36.75" customHeight="1">
      <c r="A169" s="148" t="s">
        <v>34</v>
      </c>
      <c r="B169" s="67"/>
      <c r="C169" s="81">
        <v>412700</v>
      </c>
      <c r="D169" s="103" t="s">
        <v>522</v>
      </c>
      <c r="E169" s="173">
        <v>10000</v>
      </c>
      <c r="F169" s="173">
        <v>0</v>
      </c>
      <c r="G169" s="167">
        <f t="shared" si="15"/>
        <v>0</v>
      </c>
      <c r="H169" s="85">
        <f t="shared" si="16"/>
        <v>0</v>
      </c>
      <c r="I169" s="6"/>
      <c r="J169" s="473"/>
      <c r="K169" s="473"/>
      <c r="L169" s="12"/>
      <c r="M169" s="11"/>
    </row>
    <row r="170" spans="1:13" ht="12.75">
      <c r="A170" s="148" t="s">
        <v>23</v>
      </c>
      <c r="B170" s="151"/>
      <c r="C170" s="81">
        <v>412900</v>
      </c>
      <c r="D170" s="103" t="s">
        <v>24</v>
      </c>
      <c r="E170" s="171">
        <v>400</v>
      </c>
      <c r="F170" s="171">
        <v>400</v>
      </c>
      <c r="G170" s="167">
        <f t="shared" si="15"/>
        <v>100</v>
      </c>
      <c r="H170" s="85">
        <f t="shared" si="16"/>
        <v>0.0018018018018018018</v>
      </c>
      <c r="I170" s="6"/>
      <c r="J170" s="473"/>
      <c r="K170" s="473"/>
      <c r="L170" s="11"/>
      <c r="M170" s="11"/>
    </row>
    <row r="171" spans="1:13" ht="24" customHeight="1">
      <c r="A171" s="148" t="s">
        <v>23</v>
      </c>
      <c r="B171" s="151"/>
      <c r="C171" s="81">
        <v>412900</v>
      </c>
      <c r="D171" s="103" t="s">
        <v>99</v>
      </c>
      <c r="E171" s="171">
        <v>22000</v>
      </c>
      <c r="F171" s="171">
        <v>22000</v>
      </c>
      <c r="G171" s="167">
        <f t="shared" si="15"/>
        <v>100</v>
      </c>
      <c r="H171" s="85">
        <f t="shared" si="16"/>
        <v>0.0990990990990991</v>
      </c>
      <c r="I171" s="6"/>
      <c r="J171" s="473"/>
      <c r="K171" s="473"/>
      <c r="L171" s="11"/>
      <c r="M171" s="11"/>
    </row>
    <row r="172" spans="1:13" ht="16.5" customHeight="1" hidden="1">
      <c r="A172" s="148"/>
      <c r="B172" s="67">
        <v>414000</v>
      </c>
      <c r="C172" s="81"/>
      <c r="D172" s="162" t="s">
        <v>175</v>
      </c>
      <c r="E172" s="164">
        <f>SUM(E173)</f>
        <v>0</v>
      </c>
      <c r="F172" s="164">
        <f>SUM(F173)</f>
        <v>0</v>
      </c>
      <c r="G172" s="164" t="e">
        <f t="shared" si="15"/>
        <v>#DIV/0!</v>
      </c>
      <c r="H172" s="165">
        <f t="shared" si="16"/>
        <v>0</v>
      </c>
      <c r="I172" s="6"/>
      <c r="J172" s="473"/>
      <c r="K172" s="473"/>
      <c r="L172" s="11"/>
      <c r="M172" s="11"/>
    </row>
    <row r="173" spans="1:13" ht="0.75" customHeight="1" hidden="1">
      <c r="A173" s="148" t="s">
        <v>34</v>
      </c>
      <c r="B173" s="151"/>
      <c r="C173" s="81">
        <v>414100</v>
      </c>
      <c r="D173" s="103" t="s">
        <v>427</v>
      </c>
      <c r="E173" s="172">
        <v>0</v>
      </c>
      <c r="F173" s="172">
        <v>0</v>
      </c>
      <c r="G173" s="167" t="e">
        <f t="shared" si="15"/>
        <v>#DIV/0!</v>
      </c>
      <c r="H173" s="85">
        <f t="shared" si="16"/>
        <v>0</v>
      </c>
      <c r="I173" s="6"/>
      <c r="J173" s="473"/>
      <c r="K173" s="473"/>
      <c r="L173" s="11"/>
      <c r="M173" s="11"/>
    </row>
    <row r="174" spans="1:13" ht="12.75">
      <c r="A174" s="148"/>
      <c r="B174" s="67">
        <v>416100</v>
      </c>
      <c r="C174" s="81"/>
      <c r="D174" s="162" t="s">
        <v>1</v>
      </c>
      <c r="E174" s="164">
        <f>SUM(E175)</f>
        <v>15000</v>
      </c>
      <c r="F174" s="164">
        <f>SUM(F175)</f>
        <v>5000</v>
      </c>
      <c r="G174" s="164">
        <f t="shared" si="15"/>
        <v>33.33333333333333</v>
      </c>
      <c r="H174" s="165">
        <f t="shared" si="16"/>
        <v>0.02252252252252252</v>
      </c>
      <c r="I174" s="6"/>
      <c r="J174" s="473"/>
      <c r="K174" s="473"/>
      <c r="L174" s="11"/>
      <c r="M174" s="11"/>
    </row>
    <row r="175" spans="1:13" ht="12.75">
      <c r="A175" s="148" t="s">
        <v>34</v>
      </c>
      <c r="B175" s="151"/>
      <c r="C175" s="81">
        <v>416100</v>
      </c>
      <c r="D175" s="103" t="s">
        <v>427</v>
      </c>
      <c r="E175" s="172">
        <v>15000</v>
      </c>
      <c r="F175" s="84">
        <v>5000</v>
      </c>
      <c r="G175" s="167">
        <f t="shared" si="15"/>
        <v>33.33333333333333</v>
      </c>
      <c r="H175" s="85">
        <f t="shared" si="16"/>
        <v>0.02252252252252252</v>
      </c>
      <c r="I175" s="6"/>
      <c r="J175" s="473"/>
      <c r="K175" s="473"/>
      <c r="L175" s="11"/>
      <c r="M175" s="11"/>
    </row>
    <row r="176" spans="1:13" ht="30" customHeight="1">
      <c r="A176" s="526"/>
      <c r="B176" s="527"/>
      <c r="C176" s="517" t="s">
        <v>213</v>
      </c>
      <c r="D176" s="518"/>
      <c r="E176" s="187">
        <f>E166+E172+E174</f>
        <v>82400</v>
      </c>
      <c r="F176" s="187">
        <f>F166+F172+F174</f>
        <v>59900</v>
      </c>
      <c r="G176" s="451">
        <f t="shared" si="15"/>
        <v>72.69417475728154</v>
      </c>
      <c r="H176" s="188">
        <f t="shared" si="16"/>
        <v>0.2698198198198198</v>
      </c>
      <c r="I176" s="6"/>
      <c r="J176" s="516"/>
      <c r="K176" s="473"/>
      <c r="L176" s="11"/>
      <c r="M176" s="11"/>
    </row>
    <row r="177" spans="1:13" ht="9.75" customHeight="1">
      <c r="A177" s="526"/>
      <c r="B177" s="527"/>
      <c r="C177" s="521" t="s">
        <v>644</v>
      </c>
      <c r="D177" s="540"/>
      <c r="E177" s="217"/>
      <c r="F177" s="217"/>
      <c r="G177" s="217"/>
      <c r="H177" s="218"/>
      <c r="I177" s="6"/>
      <c r="J177" s="516"/>
      <c r="K177" s="473"/>
      <c r="L177" s="11"/>
      <c r="M177" s="11"/>
    </row>
    <row r="178" spans="1:13" ht="9.75" customHeight="1">
      <c r="A178" s="526"/>
      <c r="B178" s="527"/>
      <c r="C178" s="521"/>
      <c r="D178" s="540"/>
      <c r="E178" s="219"/>
      <c r="F178" s="219"/>
      <c r="G178" s="219"/>
      <c r="H178" s="220"/>
      <c r="I178" s="6"/>
      <c r="J178" s="516"/>
      <c r="K178" s="473"/>
      <c r="L178" s="11"/>
      <c r="M178" s="11"/>
    </row>
    <row r="179" spans="1:13" ht="9.75" customHeight="1">
      <c r="A179" s="526"/>
      <c r="B179" s="527"/>
      <c r="C179" s="521"/>
      <c r="D179" s="540"/>
      <c r="E179" s="219"/>
      <c r="F179" s="219"/>
      <c r="G179" s="219"/>
      <c r="H179" s="220"/>
      <c r="I179" s="6"/>
      <c r="J179" s="516"/>
      <c r="K179" s="473"/>
      <c r="L179" s="11"/>
      <c r="M179" s="11"/>
    </row>
    <row r="180" spans="1:13" ht="23.25" customHeight="1">
      <c r="A180" s="526"/>
      <c r="B180" s="527"/>
      <c r="C180" s="521"/>
      <c r="D180" s="540"/>
      <c r="E180" s="221"/>
      <c r="F180" s="221"/>
      <c r="G180" s="221"/>
      <c r="H180" s="222"/>
      <c r="I180" s="6"/>
      <c r="J180" s="473"/>
      <c r="K180" s="473"/>
      <c r="L180" s="11"/>
      <c r="M180" s="11"/>
    </row>
    <row r="181" spans="1:13" ht="14.25" customHeight="1">
      <c r="A181" s="148"/>
      <c r="B181" s="67">
        <v>412000</v>
      </c>
      <c r="C181" s="93"/>
      <c r="D181" s="162" t="s">
        <v>120</v>
      </c>
      <c r="E181" s="164">
        <f>SUM(E182:E186)</f>
        <v>153400</v>
      </c>
      <c r="F181" s="164">
        <f>SUM(F182:F186)</f>
        <v>173400</v>
      </c>
      <c r="G181" s="164">
        <f aca="true" t="shared" si="17" ref="G181:G223">F181/E181*100</f>
        <v>113.03780964797913</v>
      </c>
      <c r="H181" s="165">
        <f aca="true" t="shared" si="18" ref="H181:H223">F181/$F$587*100</f>
        <v>0.7810810810810811</v>
      </c>
      <c r="I181" s="6"/>
      <c r="J181" s="473"/>
      <c r="K181" s="473"/>
      <c r="L181" s="11"/>
      <c r="M181" s="11"/>
    </row>
    <row r="182" spans="1:13" ht="14.25" customHeight="1">
      <c r="A182" s="148" t="s">
        <v>23</v>
      </c>
      <c r="B182" s="67"/>
      <c r="C182" s="81">
        <v>412100</v>
      </c>
      <c r="D182" s="103" t="s">
        <v>233</v>
      </c>
      <c r="E182" s="173">
        <v>35000</v>
      </c>
      <c r="F182" s="173">
        <v>40000</v>
      </c>
      <c r="G182" s="167">
        <f t="shared" si="17"/>
        <v>114.28571428571428</v>
      </c>
      <c r="H182" s="85">
        <f t="shared" si="18"/>
        <v>0.18018018018018017</v>
      </c>
      <c r="I182" s="6"/>
      <c r="J182" s="473"/>
      <c r="K182" s="473"/>
      <c r="L182" s="11"/>
      <c r="M182" s="11"/>
    </row>
    <row r="183" spans="1:13" ht="25.5">
      <c r="A183" s="148" t="s">
        <v>23</v>
      </c>
      <c r="B183" s="67"/>
      <c r="C183" s="81">
        <v>412200</v>
      </c>
      <c r="D183" s="103" t="s">
        <v>496</v>
      </c>
      <c r="E183" s="173">
        <v>50000</v>
      </c>
      <c r="F183" s="173">
        <v>55000</v>
      </c>
      <c r="G183" s="167">
        <f t="shared" si="17"/>
        <v>110.00000000000001</v>
      </c>
      <c r="H183" s="85">
        <f t="shared" si="18"/>
        <v>0.24774774774774774</v>
      </c>
      <c r="I183" s="6"/>
      <c r="J183" s="473"/>
      <c r="K183" s="473"/>
      <c r="L183" s="11"/>
      <c r="M183" s="11"/>
    </row>
    <row r="184" spans="1:13" ht="12.75" customHeight="1">
      <c r="A184" s="150" t="s">
        <v>23</v>
      </c>
      <c r="B184" s="151"/>
      <c r="C184" s="223">
        <v>412700</v>
      </c>
      <c r="D184" s="108" t="s">
        <v>169</v>
      </c>
      <c r="E184" s="173">
        <v>8000</v>
      </c>
      <c r="F184" s="173">
        <v>10000</v>
      </c>
      <c r="G184" s="167">
        <f t="shared" si="17"/>
        <v>125</v>
      </c>
      <c r="H184" s="85">
        <f t="shared" si="18"/>
        <v>0.04504504504504504</v>
      </c>
      <c r="I184" s="6"/>
      <c r="J184" s="473"/>
      <c r="K184" s="473"/>
      <c r="L184" s="11"/>
      <c r="M184" s="11"/>
    </row>
    <row r="185" spans="1:13" ht="13.5" customHeight="1">
      <c r="A185" s="148" t="s">
        <v>23</v>
      </c>
      <c r="B185" s="151"/>
      <c r="C185" s="81">
        <v>412900</v>
      </c>
      <c r="D185" s="103" t="s">
        <v>234</v>
      </c>
      <c r="E185" s="173">
        <v>60000</v>
      </c>
      <c r="F185" s="173">
        <v>68000</v>
      </c>
      <c r="G185" s="167">
        <f t="shared" si="17"/>
        <v>113.33333333333333</v>
      </c>
      <c r="H185" s="85">
        <f t="shared" si="18"/>
        <v>0.3063063063063063</v>
      </c>
      <c r="I185" s="6"/>
      <c r="J185" s="473"/>
      <c r="K185" s="473"/>
      <c r="L185" s="11"/>
      <c r="M185" s="11"/>
    </row>
    <row r="186" spans="1:13" ht="12.75" customHeight="1">
      <c r="A186" s="148" t="s">
        <v>23</v>
      </c>
      <c r="B186" s="151"/>
      <c r="C186" s="81">
        <v>412900</v>
      </c>
      <c r="D186" s="103" t="s">
        <v>0</v>
      </c>
      <c r="E186" s="171">
        <v>400</v>
      </c>
      <c r="F186" s="171">
        <v>400</v>
      </c>
      <c r="G186" s="167">
        <f t="shared" si="17"/>
        <v>100</v>
      </c>
      <c r="H186" s="85">
        <f t="shared" si="18"/>
        <v>0.0018018018018018018</v>
      </c>
      <c r="I186" s="6"/>
      <c r="J186" s="473"/>
      <c r="K186" s="473"/>
      <c r="L186" s="11"/>
      <c r="M186" s="11"/>
    </row>
    <row r="187" spans="1:13" ht="15" customHeight="1">
      <c r="A187" s="148"/>
      <c r="B187" s="67"/>
      <c r="C187" s="81"/>
      <c r="D187" s="162" t="s">
        <v>188</v>
      </c>
      <c r="E187" s="203">
        <f>SUM(E188:E195)</f>
        <v>692000</v>
      </c>
      <c r="F187" s="203">
        <f>SUM(F188:F195)</f>
        <v>725000</v>
      </c>
      <c r="G187" s="164">
        <f t="shared" si="17"/>
        <v>104.76878612716763</v>
      </c>
      <c r="H187" s="169">
        <f t="shared" si="18"/>
        <v>3.2657657657657655</v>
      </c>
      <c r="I187" s="6"/>
      <c r="J187" s="473"/>
      <c r="K187" s="473"/>
      <c r="L187" s="11"/>
      <c r="M187" s="11"/>
    </row>
    <row r="188" spans="1:13" ht="48.75" customHeight="1">
      <c r="A188" s="150" t="s">
        <v>36</v>
      </c>
      <c r="B188" s="151"/>
      <c r="C188" s="112">
        <v>412800</v>
      </c>
      <c r="D188" s="108" t="s">
        <v>636</v>
      </c>
      <c r="E188" s="171">
        <v>135000</v>
      </c>
      <c r="F188" s="171">
        <v>135000</v>
      </c>
      <c r="G188" s="167">
        <f t="shared" si="17"/>
        <v>100</v>
      </c>
      <c r="H188" s="85">
        <f t="shared" si="18"/>
        <v>0.6081081081081081</v>
      </c>
      <c r="I188" s="6"/>
      <c r="J188" s="473"/>
      <c r="K188" s="473"/>
      <c r="L188" s="11"/>
      <c r="M188" s="11"/>
    </row>
    <row r="189" spans="1:13" ht="40.5" customHeight="1">
      <c r="A189" s="150" t="s">
        <v>36</v>
      </c>
      <c r="B189" s="151"/>
      <c r="C189" s="112">
        <v>412800</v>
      </c>
      <c r="D189" s="108" t="s">
        <v>526</v>
      </c>
      <c r="E189" s="173">
        <v>90000</v>
      </c>
      <c r="F189" s="173">
        <v>100000</v>
      </c>
      <c r="G189" s="167">
        <f t="shared" si="17"/>
        <v>111.11111111111111</v>
      </c>
      <c r="H189" s="85">
        <f t="shared" si="18"/>
        <v>0.45045045045045046</v>
      </c>
      <c r="I189" s="6"/>
      <c r="J189" s="473"/>
      <c r="K189" s="473"/>
      <c r="L189" s="11"/>
      <c r="M189" s="11"/>
    </row>
    <row r="190" spans="1:13" ht="14.25" customHeight="1">
      <c r="A190" s="150" t="s">
        <v>36</v>
      </c>
      <c r="B190" s="151"/>
      <c r="C190" s="112">
        <v>412800</v>
      </c>
      <c r="D190" s="108" t="s">
        <v>527</v>
      </c>
      <c r="E190" s="173">
        <v>180000</v>
      </c>
      <c r="F190" s="173">
        <v>180000</v>
      </c>
      <c r="G190" s="167">
        <f t="shared" si="17"/>
        <v>100</v>
      </c>
      <c r="H190" s="85">
        <f t="shared" si="18"/>
        <v>0.8108108108108109</v>
      </c>
      <c r="I190" s="6"/>
      <c r="J190" s="473"/>
      <c r="K190" s="473"/>
      <c r="L190" s="11"/>
      <c r="M190" s="11"/>
    </row>
    <row r="191" spans="1:13" ht="25.5">
      <c r="A191" s="150" t="s">
        <v>36</v>
      </c>
      <c r="B191" s="151"/>
      <c r="C191" s="112">
        <v>412800</v>
      </c>
      <c r="D191" s="108" t="s">
        <v>113</v>
      </c>
      <c r="E191" s="173">
        <v>202000</v>
      </c>
      <c r="F191" s="173">
        <v>200000</v>
      </c>
      <c r="G191" s="167">
        <f t="shared" si="17"/>
        <v>99.00990099009901</v>
      </c>
      <c r="H191" s="85">
        <f t="shared" si="18"/>
        <v>0.9009009009009009</v>
      </c>
      <c r="I191" s="6"/>
      <c r="J191" s="473"/>
      <c r="K191" s="473"/>
      <c r="L191" s="11"/>
      <c r="M191" s="11"/>
    </row>
    <row r="192" spans="1:13" ht="25.5">
      <c r="A192" s="150" t="s">
        <v>36</v>
      </c>
      <c r="B192" s="151"/>
      <c r="C192" s="112">
        <v>412800</v>
      </c>
      <c r="D192" s="108" t="s">
        <v>243</v>
      </c>
      <c r="E192" s="173">
        <v>40000</v>
      </c>
      <c r="F192" s="173">
        <v>50000</v>
      </c>
      <c r="G192" s="167">
        <f t="shared" si="17"/>
        <v>125</v>
      </c>
      <c r="H192" s="85">
        <f t="shared" si="18"/>
        <v>0.22522522522522523</v>
      </c>
      <c r="I192" s="6"/>
      <c r="J192" s="473"/>
      <c r="K192" s="473"/>
      <c r="L192" s="11"/>
      <c r="M192" s="11"/>
    </row>
    <row r="193" spans="1:13" ht="12.75">
      <c r="A193" s="150" t="s">
        <v>36</v>
      </c>
      <c r="B193" s="151"/>
      <c r="C193" s="151">
        <v>412800</v>
      </c>
      <c r="D193" s="90" t="s">
        <v>181</v>
      </c>
      <c r="E193" s="173">
        <v>5000</v>
      </c>
      <c r="F193" s="216">
        <v>10000</v>
      </c>
      <c r="G193" s="167">
        <f t="shared" si="17"/>
        <v>200</v>
      </c>
      <c r="H193" s="85">
        <f t="shared" si="18"/>
        <v>0.04504504504504504</v>
      </c>
      <c r="I193" s="6"/>
      <c r="J193" s="473"/>
      <c r="K193" s="473"/>
      <c r="L193" s="11"/>
      <c r="M193" s="11"/>
    </row>
    <row r="194" spans="1:13" ht="12.75">
      <c r="A194" s="150" t="s">
        <v>36</v>
      </c>
      <c r="B194" s="151"/>
      <c r="C194" s="112">
        <v>412800</v>
      </c>
      <c r="D194" s="108" t="s">
        <v>37</v>
      </c>
      <c r="E194" s="173">
        <v>20000</v>
      </c>
      <c r="F194" s="216">
        <v>20000</v>
      </c>
      <c r="G194" s="167">
        <f t="shared" si="17"/>
        <v>100</v>
      </c>
      <c r="H194" s="85">
        <f t="shared" si="18"/>
        <v>0.09009009009009009</v>
      </c>
      <c r="I194" s="6"/>
      <c r="J194" s="473"/>
      <c r="K194" s="473"/>
      <c r="L194" s="11"/>
      <c r="M194" s="11"/>
    </row>
    <row r="195" spans="1:13" ht="22.5" customHeight="1">
      <c r="A195" s="150" t="s">
        <v>36</v>
      </c>
      <c r="B195" s="151"/>
      <c r="C195" s="112">
        <v>412800</v>
      </c>
      <c r="D195" s="108" t="s">
        <v>116</v>
      </c>
      <c r="E195" s="173">
        <v>20000</v>
      </c>
      <c r="F195" s="216">
        <v>30000</v>
      </c>
      <c r="G195" s="167">
        <f t="shared" si="17"/>
        <v>150</v>
      </c>
      <c r="H195" s="85">
        <f t="shared" si="18"/>
        <v>0.13513513513513514</v>
      </c>
      <c r="I195" s="6"/>
      <c r="J195" s="473"/>
      <c r="K195" s="135"/>
      <c r="L195" s="11"/>
      <c r="M195" s="11"/>
    </row>
    <row r="196" spans="1:13" ht="16.5" customHeight="1">
      <c r="A196" s="148"/>
      <c r="B196" s="151"/>
      <c r="C196" s="111"/>
      <c r="D196" s="107" t="s">
        <v>38</v>
      </c>
      <c r="E196" s="203">
        <f>SUM(E197:E202)</f>
        <v>235000</v>
      </c>
      <c r="F196" s="203">
        <f>SUM(F197:F202)</f>
        <v>310000</v>
      </c>
      <c r="G196" s="164">
        <f t="shared" si="17"/>
        <v>131.91489361702128</v>
      </c>
      <c r="H196" s="169">
        <f t="shared" si="18"/>
        <v>1.3963963963963963</v>
      </c>
      <c r="I196" s="6"/>
      <c r="J196" s="473"/>
      <c r="K196" s="135"/>
      <c r="L196" s="11"/>
      <c r="M196" s="11"/>
    </row>
    <row r="197" spans="1:13" ht="24.75" customHeight="1">
      <c r="A197" s="148" t="s">
        <v>39</v>
      </c>
      <c r="B197" s="151"/>
      <c r="C197" s="112">
        <v>412500</v>
      </c>
      <c r="D197" s="108" t="s">
        <v>407</v>
      </c>
      <c r="E197" s="171">
        <v>150000</v>
      </c>
      <c r="F197" s="171">
        <v>150000</v>
      </c>
      <c r="G197" s="167">
        <f t="shared" si="17"/>
        <v>100</v>
      </c>
      <c r="H197" s="85">
        <f t="shared" si="18"/>
        <v>0.6756756756756757</v>
      </c>
      <c r="I197" s="6"/>
      <c r="J197" s="473"/>
      <c r="K197" s="135"/>
      <c r="L197" s="11"/>
      <c r="M197" s="11"/>
    </row>
    <row r="198" spans="1:13" ht="22.5" customHeight="1" hidden="1">
      <c r="A198" s="148" t="s">
        <v>39</v>
      </c>
      <c r="B198" s="151"/>
      <c r="C198" s="112">
        <v>412500</v>
      </c>
      <c r="D198" s="108" t="s">
        <v>246</v>
      </c>
      <c r="E198" s="171"/>
      <c r="F198" s="171"/>
      <c r="G198" s="167" t="e">
        <f t="shared" si="17"/>
        <v>#DIV/0!</v>
      </c>
      <c r="H198" s="85">
        <f t="shared" si="18"/>
        <v>0</v>
      </c>
      <c r="I198" s="6"/>
      <c r="J198" s="473"/>
      <c r="K198" s="473"/>
      <c r="L198" s="11"/>
      <c r="M198" s="11"/>
    </row>
    <row r="199" spans="1:13" ht="24.75" customHeight="1">
      <c r="A199" s="148" t="s">
        <v>39</v>
      </c>
      <c r="B199" s="151"/>
      <c r="C199" s="112">
        <v>412500</v>
      </c>
      <c r="D199" s="90" t="s">
        <v>173</v>
      </c>
      <c r="E199" s="171">
        <v>15000</v>
      </c>
      <c r="F199" s="171">
        <v>20000</v>
      </c>
      <c r="G199" s="167">
        <f t="shared" si="17"/>
        <v>133.33333333333331</v>
      </c>
      <c r="H199" s="85">
        <f t="shared" si="18"/>
        <v>0.09009009009009009</v>
      </c>
      <c r="I199" s="6"/>
      <c r="J199" s="473"/>
      <c r="K199" s="473"/>
      <c r="L199" s="11"/>
      <c r="M199" s="11"/>
    </row>
    <row r="200" spans="1:13" ht="15.75" customHeight="1">
      <c r="A200" s="148" t="s">
        <v>39</v>
      </c>
      <c r="B200" s="151"/>
      <c r="C200" s="112">
        <v>412500</v>
      </c>
      <c r="D200" s="108" t="s">
        <v>185</v>
      </c>
      <c r="E200" s="173">
        <v>40000</v>
      </c>
      <c r="F200" s="173">
        <v>50000</v>
      </c>
      <c r="G200" s="167">
        <f t="shared" si="17"/>
        <v>125</v>
      </c>
      <c r="H200" s="85">
        <f t="shared" si="18"/>
        <v>0.22522522522522523</v>
      </c>
      <c r="I200" s="6"/>
      <c r="J200" s="473"/>
      <c r="K200" s="473"/>
      <c r="L200" s="11"/>
      <c r="M200" s="11"/>
    </row>
    <row r="201" spans="1:13" ht="12.75">
      <c r="A201" s="148" t="s">
        <v>39</v>
      </c>
      <c r="B201" s="151"/>
      <c r="C201" s="112">
        <v>412500</v>
      </c>
      <c r="D201" s="108" t="s">
        <v>40</v>
      </c>
      <c r="E201" s="173">
        <v>25000</v>
      </c>
      <c r="F201" s="173">
        <v>80000</v>
      </c>
      <c r="G201" s="167">
        <f t="shared" si="17"/>
        <v>320</v>
      </c>
      <c r="H201" s="85">
        <f t="shared" si="18"/>
        <v>0.36036036036036034</v>
      </c>
      <c r="I201" s="6"/>
      <c r="J201" s="473"/>
      <c r="K201" s="473"/>
      <c r="L201" s="11"/>
      <c r="M201" s="11"/>
    </row>
    <row r="202" spans="1:13" ht="10.5" customHeight="1">
      <c r="A202" s="148" t="s">
        <v>39</v>
      </c>
      <c r="B202" s="151"/>
      <c r="C202" s="112">
        <v>412500</v>
      </c>
      <c r="D202" s="108" t="s">
        <v>41</v>
      </c>
      <c r="E202" s="173">
        <v>5000</v>
      </c>
      <c r="F202" s="173">
        <v>10000</v>
      </c>
      <c r="G202" s="167">
        <f t="shared" si="17"/>
        <v>200</v>
      </c>
      <c r="H202" s="85">
        <f t="shared" si="18"/>
        <v>0.04504504504504504</v>
      </c>
      <c r="I202" s="6"/>
      <c r="J202" s="473"/>
      <c r="K202" s="473"/>
      <c r="L202" s="11"/>
      <c r="M202" s="11"/>
    </row>
    <row r="203" spans="1:13" ht="14.25" customHeight="1" hidden="1">
      <c r="A203" s="148"/>
      <c r="B203" s="67">
        <v>414000</v>
      </c>
      <c r="C203" s="112"/>
      <c r="D203" s="107" t="s">
        <v>175</v>
      </c>
      <c r="E203" s="203">
        <f>SUM(E204)</f>
        <v>0</v>
      </c>
      <c r="F203" s="203">
        <f>SUM(F204)</f>
        <v>0</v>
      </c>
      <c r="G203" s="164" t="e">
        <f t="shared" si="17"/>
        <v>#DIV/0!</v>
      </c>
      <c r="H203" s="169">
        <f t="shared" si="18"/>
        <v>0</v>
      </c>
      <c r="I203" s="6"/>
      <c r="J203" s="473"/>
      <c r="K203" s="473"/>
      <c r="L203" s="11"/>
      <c r="M203" s="11"/>
    </row>
    <row r="204" spans="1:13" ht="12.75" hidden="1">
      <c r="A204" s="148" t="s">
        <v>28</v>
      </c>
      <c r="B204" s="151"/>
      <c r="C204" s="112">
        <v>414100</v>
      </c>
      <c r="D204" s="108" t="s">
        <v>461</v>
      </c>
      <c r="E204" s="171">
        <v>0</v>
      </c>
      <c r="F204" s="171">
        <v>0</v>
      </c>
      <c r="G204" s="167" t="e">
        <f t="shared" si="17"/>
        <v>#DIV/0!</v>
      </c>
      <c r="H204" s="85">
        <f t="shared" si="18"/>
        <v>0</v>
      </c>
      <c r="I204" s="6"/>
      <c r="J204" s="473"/>
      <c r="K204" s="516"/>
      <c r="L204" s="11"/>
      <c r="M204" s="11"/>
    </row>
    <row r="205" spans="1:13" ht="12.75">
      <c r="A205" s="148"/>
      <c r="B205" s="67">
        <v>415000</v>
      </c>
      <c r="C205" s="112"/>
      <c r="D205" s="107" t="s">
        <v>134</v>
      </c>
      <c r="E205" s="203">
        <f>SUM(E206:E206)</f>
        <v>210000</v>
      </c>
      <c r="F205" s="203">
        <f>SUM(F206:F206)</f>
        <v>0</v>
      </c>
      <c r="G205" s="164">
        <f t="shared" si="17"/>
        <v>0</v>
      </c>
      <c r="H205" s="169">
        <f t="shared" si="18"/>
        <v>0</v>
      </c>
      <c r="I205" s="6"/>
      <c r="J205" s="473"/>
      <c r="K205" s="516"/>
      <c r="L205" s="11"/>
      <c r="M205" s="11"/>
    </row>
    <row r="206" spans="1:13" ht="36.75" customHeight="1">
      <c r="A206" s="150" t="s">
        <v>36</v>
      </c>
      <c r="B206" s="151"/>
      <c r="C206" s="112">
        <v>415200</v>
      </c>
      <c r="D206" s="144" t="s">
        <v>514</v>
      </c>
      <c r="E206" s="173">
        <v>210000</v>
      </c>
      <c r="F206" s="173">
        <v>0</v>
      </c>
      <c r="G206" s="167">
        <f t="shared" si="17"/>
        <v>0</v>
      </c>
      <c r="H206" s="85">
        <f t="shared" si="18"/>
        <v>0</v>
      </c>
      <c r="I206" s="6"/>
      <c r="J206" s="473"/>
      <c r="K206" s="516"/>
      <c r="L206" s="11"/>
      <c r="M206" s="11"/>
    </row>
    <row r="207" spans="1:13" ht="12.75">
      <c r="A207" s="150"/>
      <c r="B207" s="67">
        <v>416000</v>
      </c>
      <c r="C207" s="112"/>
      <c r="D207" s="355" t="s">
        <v>1</v>
      </c>
      <c r="E207" s="203">
        <f>SUM(E208)</f>
        <v>1000</v>
      </c>
      <c r="F207" s="203">
        <f>SUM(F208)</f>
        <v>600</v>
      </c>
      <c r="G207" s="164">
        <f t="shared" si="17"/>
        <v>60</v>
      </c>
      <c r="H207" s="169">
        <f t="shared" si="18"/>
        <v>0.002702702702702703</v>
      </c>
      <c r="I207" s="6"/>
      <c r="J207" s="473"/>
      <c r="K207" s="516"/>
      <c r="L207" s="11"/>
      <c r="M207" s="11"/>
    </row>
    <row r="208" spans="1:13" ht="25.5">
      <c r="A208" s="150" t="s">
        <v>28</v>
      </c>
      <c r="B208" s="151"/>
      <c r="C208" s="112">
        <v>416100</v>
      </c>
      <c r="D208" s="144" t="s">
        <v>461</v>
      </c>
      <c r="E208" s="173">
        <v>1000</v>
      </c>
      <c r="F208" s="173">
        <v>600</v>
      </c>
      <c r="G208" s="167">
        <f t="shared" si="17"/>
        <v>60</v>
      </c>
      <c r="H208" s="85">
        <f t="shared" si="18"/>
        <v>0.002702702702702703</v>
      </c>
      <c r="I208" s="6"/>
      <c r="J208" s="473"/>
      <c r="K208" s="473"/>
      <c r="L208" s="12"/>
      <c r="M208" s="11"/>
    </row>
    <row r="209" spans="1:13" ht="12.75">
      <c r="A209" s="148"/>
      <c r="B209" s="67">
        <v>511000</v>
      </c>
      <c r="C209" s="151"/>
      <c r="D209" s="162" t="s">
        <v>138</v>
      </c>
      <c r="E209" s="203">
        <f>SUM(E210:E211)</f>
        <v>79000</v>
      </c>
      <c r="F209" s="203">
        <f>SUM(F210:F211)</f>
        <v>10000</v>
      </c>
      <c r="G209" s="164">
        <f t="shared" si="17"/>
        <v>12.658227848101266</v>
      </c>
      <c r="H209" s="169">
        <f t="shared" si="18"/>
        <v>0.04504504504504504</v>
      </c>
      <c r="I209" s="6"/>
      <c r="J209" s="473"/>
      <c r="K209" s="473"/>
      <c r="L209" s="12"/>
      <c r="M209" s="11"/>
    </row>
    <row r="210" spans="1:13" ht="24" customHeight="1">
      <c r="A210" s="148" t="s">
        <v>36</v>
      </c>
      <c r="B210" s="151"/>
      <c r="C210" s="227">
        <v>511200</v>
      </c>
      <c r="D210" s="144" t="s">
        <v>516</v>
      </c>
      <c r="E210" s="173">
        <v>10000</v>
      </c>
      <c r="F210" s="173">
        <v>10000</v>
      </c>
      <c r="G210" s="167">
        <f t="shared" si="17"/>
        <v>100</v>
      </c>
      <c r="H210" s="85">
        <f t="shared" si="18"/>
        <v>0.04504504504504504</v>
      </c>
      <c r="I210" s="6"/>
      <c r="J210" s="473"/>
      <c r="K210" s="473"/>
      <c r="L210" s="12"/>
      <c r="M210" s="11"/>
    </row>
    <row r="211" spans="1:13" ht="12.75">
      <c r="A211" s="148" t="s">
        <v>453</v>
      </c>
      <c r="B211" s="151"/>
      <c r="C211" s="227">
        <v>511300</v>
      </c>
      <c r="D211" s="144" t="s">
        <v>528</v>
      </c>
      <c r="E211" s="173">
        <v>69000</v>
      </c>
      <c r="F211" s="173">
        <v>0</v>
      </c>
      <c r="G211" s="167">
        <f t="shared" si="17"/>
        <v>0</v>
      </c>
      <c r="H211" s="85">
        <f t="shared" si="18"/>
        <v>0</v>
      </c>
      <c r="I211" s="6"/>
      <c r="J211" s="473"/>
      <c r="K211" s="473"/>
      <c r="L211" s="11"/>
      <c r="M211" s="11"/>
    </row>
    <row r="212" spans="1:13" ht="16.5" customHeight="1">
      <c r="A212" s="148"/>
      <c r="B212" s="151"/>
      <c r="C212" s="100"/>
      <c r="D212" s="107" t="s">
        <v>410</v>
      </c>
      <c r="E212" s="203">
        <f>E213+E220</f>
        <v>730000</v>
      </c>
      <c r="F212" s="203">
        <f>F213+F220</f>
        <v>1700000</v>
      </c>
      <c r="G212" s="164">
        <f t="shared" si="17"/>
        <v>232.87671232876713</v>
      </c>
      <c r="H212" s="169">
        <f t="shared" si="18"/>
        <v>7.657657657657657</v>
      </c>
      <c r="I212" s="6"/>
      <c r="J212" s="473"/>
      <c r="K212" s="473"/>
      <c r="L212" s="11"/>
      <c r="M212" s="11"/>
    </row>
    <row r="213" spans="1:13" ht="14.25" customHeight="1">
      <c r="A213" s="148"/>
      <c r="B213" s="151"/>
      <c r="C213" s="100"/>
      <c r="D213" s="107" t="s">
        <v>301</v>
      </c>
      <c r="E213" s="230">
        <f>SUM(E215:E219)</f>
        <v>730000</v>
      </c>
      <c r="F213" s="230">
        <f>SUM(F215:F219)</f>
        <v>1700000</v>
      </c>
      <c r="G213" s="231">
        <f t="shared" si="17"/>
        <v>232.87671232876713</v>
      </c>
      <c r="H213" s="232">
        <f t="shared" si="18"/>
        <v>7.657657657657657</v>
      </c>
      <c r="I213" s="6"/>
      <c r="J213" s="135"/>
      <c r="K213" s="473"/>
      <c r="L213" s="11"/>
      <c r="M213" s="11"/>
    </row>
    <row r="214" spans="1:13" ht="12.75" hidden="1">
      <c r="A214" s="233" t="s">
        <v>36</v>
      </c>
      <c r="B214" s="234"/>
      <c r="C214" s="235">
        <v>511100</v>
      </c>
      <c r="D214" s="236" t="s">
        <v>452</v>
      </c>
      <c r="E214" s="173">
        <v>0</v>
      </c>
      <c r="F214" s="173">
        <v>0</v>
      </c>
      <c r="G214" s="167" t="e">
        <f t="shared" si="17"/>
        <v>#DIV/0!</v>
      </c>
      <c r="H214" s="85">
        <f t="shared" si="18"/>
        <v>0</v>
      </c>
      <c r="I214" s="19"/>
      <c r="J214" s="135"/>
      <c r="K214" s="473"/>
      <c r="L214" s="11"/>
      <c r="M214" s="11"/>
    </row>
    <row r="215" spans="1:13" ht="38.25">
      <c r="A215" s="233" t="s">
        <v>36</v>
      </c>
      <c r="B215" s="234"/>
      <c r="C215" s="235">
        <v>511200</v>
      </c>
      <c r="D215" s="236" t="s">
        <v>292</v>
      </c>
      <c r="E215" s="173">
        <v>622000</v>
      </c>
      <c r="F215" s="216">
        <v>200000</v>
      </c>
      <c r="G215" s="167">
        <f t="shared" si="17"/>
        <v>32.154340836012864</v>
      </c>
      <c r="H215" s="237">
        <f t="shared" si="18"/>
        <v>0.9009009009009009</v>
      </c>
      <c r="I215" s="360"/>
      <c r="J215" s="135"/>
      <c r="K215" s="473"/>
      <c r="L215" s="11"/>
      <c r="M215" s="11"/>
    </row>
    <row r="216" spans="1:13" ht="12.75">
      <c r="A216" s="456" t="s">
        <v>36</v>
      </c>
      <c r="B216" s="457"/>
      <c r="C216" s="458">
        <v>511200</v>
      </c>
      <c r="D216" s="459" t="s">
        <v>671</v>
      </c>
      <c r="E216" s="173">
        <v>0</v>
      </c>
      <c r="F216" s="216">
        <v>300000</v>
      </c>
      <c r="G216" s="167" t="e">
        <f t="shared" si="17"/>
        <v>#DIV/0!</v>
      </c>
      <c r="H216" s="237">
        <f t="shared" si="18"/>
        <v>1.3513513513513513</v>
      </c>
      <c r="I216" s="360"/>
      <c r="J216" s="473"/>
      <c r="K216" s="473"/>
      <c r="L216" s="12"/>
      <c r="M216" s="11"/>
    </row>
    <row r="217" spans="1:13" ht="12.75">
      <c r="A217" s="456" t="s">
        <v>36</v>
      </c>
      <c r="B217" s="457"/>
      <c r="C217" s="458">
        <v>511200</v>
      </c>
      <c r="D217" s="459" t="s">
        <v>669</v>
      </c>
      <c r="E217" s="173">
        <v>0</v>
      </c>
      <c r="F217" s="216">
        <v>1200000</v>
      </c>
      <c r="G217" s="167" t="e">
        <f t="shared" si="17"/>
        <v>#DIV/0!</v>
      </c>
      <c r="H217" s="237">
        <f t="shared" si="18"/>
        <v>5.405405405405405</v>
      </c>
      <c r="I217" s="360"/>
      <c r="J217" s="473"/>
      <c r="K217" s="473"/>
      <c r="L217" s="11"/>
      <c r="M217" s="11"/>
    </row>
    <row r="218" spans="1:13" ht="51">
      <c r="A218" s="238" t="s">
        <v>36</v>
      </c>
      <c r="B218" s="234"/>
      <c r="C218" s="235">
        <v>511200</v>
      </c>
      <c r="D218" s="236" t="s">
        <v>515</v>
      </c>
      <c r="E218" s="173">
        <v>40000</v>
      </c>
      <c r="F218" s="173">
        <v>0</v>
      </c>
      <c r="G218" s="167">
        <f t="shared" si="17"/>
        <v>0</v>
      </c>
      <c r="H218" s="237">
        <f t="shared" si="18"/>
        <v>0</v>
      </c>
      <c r="I218" s="6"/>
      <c r="J218" s="473"/>
      <c r="K218" s="473"/>
      <c r="L218" s="11"/>
      <c r="M218" s="11"/>
    </row>
    <row r="219" spans="1:13" ht="38.25">
      <c r="A219" s="238" t="s">
        <v>36</v>
      </c>
      <c r="B219" s="234"/>
      <c r="C219" s="235">
        <v>511200</v>
      </c>
      <c r="D219" s="236" t="s">
        <v>521</v>
      </c>
      <c r="E219" s="173">
        <v>68000</v>
      </c>
      <c r="F219" s="173">
        <v>0</v>
      </c>
      <c r="G219" s="167">
        <f t="shared" si="17"/>
        <v>0</v>
      </c>
      <c r="H219" s="237">
        <f t="shared" si="18"/>
        <v>0</v>
      </c>
      <c r="I219" s="6"/>
      <c r="J219" s="473"/>
      <c r="K219" s="473"/>
      <c r="L219" s="11"/>
      <c r="M219" s="11"/>
    </row>
    <row r="220" spans="1:13" ht="12.75">
      <c r="A220" s="238"/>
      <c r="B220" s="234"/>
      <c r="C220" s="235"/>
      <c r="D220" s="377" t="s">
        <v>536</v>
      </c>
      <c r="E220" s="378">
        <f>SUM(E221)</f>
        <v>0</v>
      </c>
      <c r="F220" s="378">
        <f>SUM(F221)</f>
        <v>0</v>
      </c>
      <c r="G220" s="379" t="e">
        <f t="shared" si="17"/>
        <v>#DIV/0!</v>
      </c>
      <c r="H220" s="380">
        <f t="shared" si="18"/>
        <v>0</v>
      </c>
      <c r="I220" s="6"/>
      <c r="J220" s="473"/>
      <c r="K220" s="473"/>
      <c r="L220" s="11"/>
      <c r="M220" s="11"/>
    </row>
    <row r="221" spans="1:13" ht="36" customHeight="1">
      <c r="A221" s="238" t="s">
        <v>36</v>
      </c>
      <c r="B221" s="234"/>
      <c r="C221" s="235">
        <v>511200</v>
      </c>
      <c r="D221" s="236" t="s">
        <v>292</v>
      </c>
      <c r="E221" s="173">
        <v>0</v>
      </c>
      <c r="F221" s="173">
        <v>0</v>
      </c>
      <c r="G221" s="167" t="e">
        <f t="shared" si="17"/>
        <v>#DIV/0!</v>
      </c>
      <c r="H221" s="237">
        <f t="shared" si="18"/>
        <v>0</v>
      </c>
      <c r="I221" s="6"/>
      <c r="J221" s="473"/>
      <c r="K221" s="473"/>
      <c r="L221" s="11"/>
      <c r="M221" s="11"/>
    </row>
    <row r="222" spans="1:13" ht="15.75" customHeight="1" hidden="1">
      <c r="A222" s="239" t="s">
        <v>36</v>
      </c>
      <c r="B222" s="240"/>
      <c r="C222" s="92">
        <v>511200</v>
      </c>
      <c r="D222" s="144" t="s">
        <v>191</v>
      </c>
      <c r="E222" s="173">
        <v>0</v>
      </c>
      <c r="F222" s="173">
        <v>0</v>
      </c>
      <c r="G222" s="167" t="e">
        <f t="shared" si="17"/>
        <v>#DIV/0!</v>
      </c>
      <c r="H222" s="85">
        <f t="shared" si="18"/>
        <v>0</v>
      </c>
      <c r="I222" s="6"/>
      <c r="J222" s="516"/>
      <c r="K222" s="473"/>
      <c r="L222" s="11"/>
      <c r="M222" s="11"/>
    </row>
    <row r="223" spans="1:13" ht="27" customHeight="1">
      <c r="A223" s="541"/>
      <c r="B223" s="542"/>
      <c r="C223" s="517" t="s">
        <v>81</v>
      </c>
      <c r="D223" s="518"/>
      <c r="E223" s="187">
        <f>E181+E187+E196+E203+E205+E207+E209+E212</f>
        <v>2100400</v>
      </c>
      <c r="F223" s="187">
        <f>F181+F187+F196+F203+F205+F207+F209+F212</f>
        <v>2919000</v>
      </c>
      <c r="G223" s="451">
        <f t="shared" si="17"/>
        <v>138.9735288516473</v>
      </c>
      <c r="H223" s="188">
        <f t="shared" si="18"/>
        <v>13.148648648648647</v>
      </c>
      <c r="I223" s="6"/>
      <c r="J223" s="516"/>
      <c r="K223" s="473"/>
      <c r="L223" s="11"/>
      <c r="M223" s="11"/>
    </row>
    <row r="224" spans="1:13" ht="9.75" customHeight="1">
      <c r="A224" s="526"/>
      <c r="B224" s="527"/>
      <c r="C224" s="521" t="s">
        <v>643</v>
      </c>
      <c r="D224" s="540"/>
      <c r="E224" s="178"/>
      <c r="F224" s="178"/>
      <c r="G224" s="178"/>
      <c r="H224" s="179"/>
      <c r="I224" s="6"/>
      <c r="J224" s="516"/>
      <c r="K224" s="473"/>
      <c r="L224" s="11"/>
      <c r="M224" s="11"/>
    </row>
    <row r="225" spans="1:13" ht="9.75" customHeight="1">
      <c r="A225" s="526"/>
      <c r="B225" s="527"/>
      <c r="C225" s="521"/>
      <c r="D225" s="540"/>
      <c r="E225" s="180"/>
      <c r="F225" s="180"/>
      <c r="G225" s="180"/>
      <c r="H225" s="181"/>
      <c r="I225" s="6"/>
      <c r="J225" s="516"/>
      <c r="K225" s="473"/>
      <c r="L225" s="11"/>
      <c r="M225" s="11"/>
    </row>
    <row r="226" spans="1:13" ht="9.75" customHeight="1">
      <c r="A226" s="526"/>
      <c r="B226" s="527"/>
      <c r="C226" s="521"/>
      <c r="D226" s="540"/>
      <c r="E226" s="180"/>
      <c r="F226" s="180"/>
      <c r="G226" s="180"/>
      <c r="H226" s="181"/>
      <c r="I226" s="6"/>
      <c r="J226" s="473"/>
      <c r="K226" s="473"/>
      <c r="L226" s="11"/>
      <c r="M226" s="11"/>
    </row>
    <row r="227" spans="1:13" ht="11.25" customHeight="1">
      <c r="A227" s="526"/>
      <c r="B227" s="527"/>
      <c r="C227" s="521"/>
      <c r="D227" s="540"/>
      <c r="E227" s="182"/>
      <c r="F227" s="182"/>
      <c r="G227" s="182"/>
      <c r="H227" s="183"/>
      <c r="I227" s="6"/>
      <c r="J227" s="473"/>
      <c r="K227" s="473"/>
      <c r="L227" s="11"/>
      <c r="M227" s="11"/>
    </row>
    <row r="228" spans="1:13" ht="16.5" customHeight="1">
      <c r="A228" s="148"/>
      <c r="B228" s="67">
        <v>412000</v>
      </c>
      <c r="C228" s="81"/>
      <c r="D228" s="162" t="s">
        <v>120</v>
      </c>
      <c r="E228" s="164">
        <f>SUM(E229:E231)</f>
        <v>7700</v>
      </c>
      <c r="F228" s="164">
        <f>SUM(F229:F231)</f>
        <v>7700</v>
      </c>
      <c r="G228" s="164">
        <f aca="true" t="shared" si="19" ref="G228:G255">F228/E228*100</f>
        <v>100</v>
      </c>
      <c r="H228" s="165">
        <f aca="true" t="shared" si="20" ref="H228:H255">F228/$F$587*100</f>
        <v>0.034684684684684684</v>
      </c>
      <c r="I228" s="6"/>
      <c r="J228" s="473"/>
      <c r="K228" s="473"/>
      <c r="L228" s="11"/>
      <c r="M228" s="11"/>
    </row>
    <row r="229" spans="1:13" ht="14.25" customHeight="1">
      <c r="A229" s="148" t="s">
        <v>31</v>
      </c>
      <c r="B229" s="151"/>
      <c r="C229" s="81">
        <v>412500</v>
      </c>
      <c r="D229" s="108" t="s">
        <v>117</v>
      </c>
      <c r="E229" s="171">
        <v>7000</v>
      </c>
      <c r="F229" s="171">
        <v>7000</v>
      </c>
      <c r="G229" s="167">
        <f t="shared" si="19"/>
        <v>100</v>
      </c>
      <c r="H229" s="85">
        <f t="shared" si="20"/>
        <v>0.03153153153153153</v>
      </c>
      <c r="I229" s="6"/>
      <c r="J229" s="473"/>
      <c r="K229" s="473"/>
      <c r="L229" s="11"/>
      <c r="M229" s="11"/>
    </row>
    <row r="230" spans="1:13" ht="12.75" customHeight="1">
      <c r="A230" s="148" t="s">
        <v>23</v>
      </c>
      <c r="B230" s="151"/>
      <c r="C230" s="81">
        <v>412900</v>
      </c>
      <c r="D230" s="103" t="s">
        <v>0</v>
      </c>
      <c r="E230" s="171">
        <v>400</v>
      </c>
      <c r="F230" s="171">
        <v>400</v>
      </c>
      <c r="G230" s="167">
        <f t="shared" si="19"/>
        <v>100</v>
      </c>
      <c r="H230" s="85">
        <f t="shared" si="20"/>
        <v>0.0018018018018018018</v>
      </c>
      <c r="I230" s="6"/>
      <c r="J230" s="473"/>
      <c r="K230" s="473"/>
      <c r="L230" s="11"/>
      <c r="M230" s="11"/>
    </row>
    <row r="231" spans="1:13" ht="27" customHeight="1">
      <c r="A231" s="150" t="s">
        <v>32</v>
      </c>
      <c r="B231" s="151"/>
      <c r="C231" s="81">
        <v>412900</v>
      </c>
      <c r="D231" s="103" t="s">
        <v>105</v>
      </c>
      <c r="E231" s="171">
        <v>300</v>
      </c>
      <c r="F231" s="171">
        <v>300</v>
      </c>
      <c r="G231" s="167">
        <f t="shared" si="19"/>
        <v>100</v>
      </c>
      <c r="H231" s="85">
        <f t="shared" si="20"/>
        <v>0.0013513513513513514</v>
      </c>
      <c r="I231" s="6"/>
      <c r="J231" s="473"/>
      <c r="K231" s="473"/>
      <c r="L231" s="11"/>
      <c r="M231" s="11"/>
    </row>
    <row r="232" spans="1:13" ht="12.75" customHeight="1">
      <c r="A232" s="150"/>
      <c r="B232" s="174">
        <v>415000</v>
      </c>
      <c r="C232" s="81"/>
      <c r="D232" s="162" t="s">
        <v>134</v>
      </c>
      <c r="E232" s="203">
        <f>SUM(E233:E247)</f>
        <v>170000</v>
      </c>
      <c r="F232" s="203">
        <f>SUM(F233:F247)</f>
        <v>203000</v>
      </c>
      <c r="G232" s="164">
        <f t="shared" si="19"/>
        <v>119.41176470588235</v>
      </c>
      <c r="H232" s="169">
        <f t="shared" si="20"/>
        <v>0.9144144144144144</v>
      </c>
      <c r="I232" s="6"/>
      <c r="J232" s="473"/>
      <c r="K232" s="473"/>
      <c r="L232" s="11"/>
      <c r="M232" s="11"/>
    </row>
    <row r="233" spans="1:13" ht="12.75" customHeight="1">
      <c r="A233" s="148" t="s">
        <v>42</v>
      </c>
      <c r="B233" s="151"/>
      <c r="C233" s="81">
        <v>415200</v>
      </c>
      <c r="D233" s="108" t="s">
        <v>198</v>
      </c>
      <c r="E233" s="173">
        <v>90000</v>
      </c>
      <c r="F233" s="173">
        <v>90000</v>
      </c>
      <c r="G233" s="167">
        <f t="shared" si="19"/>
        <v>100</v>
      </c>
      <c r="H233" s="85">
        <f t="shared" si="20"/>
        <v>0.40540540540540543</v>
      </c>
      <c r="I233" s="6"/>
      <c r="J233" s="473"/>
      <c r="K233" s="473"/>
      <c r="L233" s="11"/>
      <c r="M233" s="11"/>
    </row>
    <row r="234" spans="1:13" ht="12.75" customHeight="1" hidden="1">
      <c r="A234" s="148" t="s">
        <v>42</v>
      </c>
      <c r="B234" s="151"/>
      <c r="C234" s="81">
        <v>415200</v>
      </c>
      <c r="D234" s="108" t="s">
        <v>497</v>
      </c>
      <c r="E234" s="173"/>
      <c r="F234" s="173"/>
      <c r="G234" s="167" t="e">
        <f t="shared" si="19"/>
        <v>#DIV/0!</v>
      </c>
      <c r="H234" s="85">
        <f t="shared" si="20"/>
        <v>0</v>
      </c>
      <c r="I234" s="6"/>
      <c r="J234" s="473"/>
      <c r="K234" s="473"/>
      <c r="L234" s="11"/>
      <c r="M234" s="11"/>
    </row>
    <row r="235" spans="1:13" ht="25.5" hidden="1">
      <c r="A235" s="148" t="s">
        <v>42</v>
      </c>
      <c r="B235" s="151"/>
      <c r="C235" s="81">
        <v>415200</v>
      </c>
      <c r="D235" s="108" t="s">
        <v>299</v>
      </c>
      <c r="E235" s="173">
        <v>0</v>
      </c>
      <c r="F235" s="173"/>
      <c r="G235" s="167" t="e">
        <f t="shared" si="19"/>
        <v>#DIV/0!</v>
      </c>
      <c r="H235" s="85">
        <f t="shared" si="20"/>
        <v>0</v>
      </c>
      <c r="I235" s="6"/>
      <c r="J235" s="473"/>
      <c r="K235" s="473"/>
      <c r="L235" s="11"/>
      <c r="M235" s="11"/>
    </row>
    <row r="236" spans="1:13" ht="12.75" customHeight="1">
      <c r="A236" s="148" t="s">
        <v>42</v>
      </c>
      <c r="B236" s="151"/>
      <c r="C236" s="81">
        <v>415200</v>
      </c>
      <c r="D236" s="103" t="s">
        <v>199</v>
      </c>
      <c r="E236" s="173">
        <v>15000</v>
      </c>
      <c r="F236" s="216">
        <v>20000</v>
      </c>
      <c r="G236" s="167">
        <f t="shared" si="19"/>
        <v>133.33333333333331</v>
      </c>
      <c r="H236" s="85">
        <f t="shared" si="20"/>
        <v>0.09009009009009009</v>
      </c>
      <c r="I236" s="6"/>
      <c r="J236" s="473"/>
      <c r="K236" s="516"/>
      <c r="L236" s="11"/>
      <c r="M236" s="11"/>
    </row>
    <row r="237" spans="1:13" ht="15.75" customHeight="1">
      <c r="A237" s="148" t="s">
        <v>42</v>
      </c>
      <c r="B237" s="151"/>
      <c r="C237" s="81">
        <v>415200</v>
      </c>
      <c r="D237" s="103" t="s">
        <v>200</v>
      </c>
      <c r="E237" s="173">
        <v>30000</v>
      </c>
      <c r="F237" s="173">
        <v>30000</v>
      </c>
      <c r="G237" s="167">
        <f t="shared" si="19"/>
        <v>100</v>
      </c>
      <c r="H237" s="85">
        <f t="shared" si="20"/>
        <v>0.13513513513513514</v>
      </c>
      <c r="I237" s="6"/>
      <c r="J237" s="473"/>
      <c r="K237" s="516"/>
      <c r="L237" s="11"/>
      <c r="M237" s="11"/>
    </row>
    <row r="238" spans="1:13" ht="13.5" customHeight="1">
      <c r="A238" s="148" t="s">
        <v>42</v>
      </c>
      <c r="B238" s="151"/>
      <c r="C238" s="81">
        <v>415200</v>
      </c>
      <c r="D238" s="103" t="s">
        <v>279</v>
      </c>
      <c r="E238" s="173">
        <v>5000</v>
      </c>
      <c r="F238" s="173">
        <v>5000</v>
      </c>
      <c r="G238" s="167">
        <f t="shared" si="19"/>
        <v>100</v>
      </c>
      <c r="H238" s="85">
        <f t="shared" si="20"/>
        <v>0.02252252252252252</v>
      </c>
      <c r="I238" s="6"/>
      <c r="J238" s="473"/>
      <c r="K238" s="516"/>
      <c r="L238" s="11"/>
      <c r="M238" s="11"/>
    </row>
    <row r="239" spans="1:13" ht="13.5" customHeight="1">
      <c r="A239" s="148" t="s">
        <v>42</v>
      </c>
      <c r="B239" s="151"/>
      <c r="C239" s="81">
        <v>415200</v>
      </c>
      <c r="D239" s="103" t="s">
        <v>201</v>
      </c>
      <c r="E239" s="173">
        <v>5000</v>
      </c>
      <c r="F239" s="173">
        <v>5000</v>
      </c>
      <c r="G239" s="167">
        <f t="shared" si="19"/>
        <v>100</v>
      </c>
      <c r="H239" s="85">
        <f t="shared" si="20"/>
        <v>0.02252252252252252</v>
      </c>
      <c r="I239" s="6"/>
      <c r="J239" s="473"/>
      <c r="K239" s="473"/>
      <c r="L239" s="11"/>
      <c r="M239" s="11"/>
    </row>
    <row r="240" spans="1:13" ht="13.5" customHeight="1" hidden="1">
      <c r="A240" s="148" t="s">
        <v>42</v>
      </c>
      <c r="B240" s="151"/>
      <c r="C240" s="81">
        <v>415200</v>
      </c>
      <c r="D240" s="103" t="s">
        <v>441</v>
      </c>
      <c r="E240" s="173"/>
      <c r="F240" s="173"/>
      <c r="G240" s="167" t="e">
        <f t="shared" si="19"/>
        <v>#DIV/0!</v>
      </c>
      <c r="H240" s="85">
        <f t="shared" si="20"/>
        <v>0</v>
      </c>
      <c r="I240" s="6"/>
      <c r="J240" s="473"/>
      <c r="K240" s="473"/>
      <c r="L240" s="11"/>
      <c r="M240" s="11"/>
    </row>
    <row r="241" spans="1:13" ht="13.5" customHeight="1">
      <c r="A241" s="148" t="s">
        <v>42</v>
      </c>
      <c r="B241" s="151"/>
      <c r="C241" s="81">
        <v>415200</v>
      </c>
      <c r="D241" s="103" t="s">
        <v>351</v>
      </c>
      <c r="E241" s="173">
        <v>5000</v>
      </c>
      <c r="F241" s="173">
        <v>5000</v>
      </c>
      <c r="G241" s="167">
        <f t="shared" si="19"/>
        <v>100</v>
      </c>
      <c r="H241" s="85">
        <f t="shared" si="20"/>
        <v>0.02252252252252252</v>
      </c>
      <c r="I241" s="6"/>
      <c r="J241" s="473"/>
      <c r="K241" s="473"/>
      <c r="L241" s="11"/>
      <c r="M241" s="11"/>
    </row>
    <row r="242" spans="1:13" ht="25.5">
      <c r="A242" s="148" t="s">
        <v>42</v>
      </c>
      <c r="B242" s="151"/>
      <c r="C242" s="81">
        <v>415200</v>
      </c>
      <c r="D242" s="103" t="s">
        <v>457</v>
      </c>
      <c r="E242" s="171">
        <v>3000</v>
      </c>
      <c r="F242" s="167">
        <v>1000</v>
      </c>
      <c r="G242" s="167">
        <f t="shared" si="19"/>
        <v>33.33333333333333</v>
      </c>
      <c r="H242" s="85">
        <f t="shared" si="20"/>
        <v>0.0045045045045045045</v>
      </c>
      <c r="I242" s="6"/>
      <c r="J242" s="473"/>
      <c r="K242" s="473"/>
      <c r="L242" s="11"/>
      <c r="M242" s="11"/>
    </row>
    <row r="243" spans="1:13" ht="38.25" customHeight="1" hidden="1">
      <c r="A243" s="148" t="s">
        <v>42</v>
      </c>
      <c r="B243" s="151"/>
      <c r="C243" s="81">
        <v>415200</v>
      </c>
      <c r="D243" s="103" t="s">
        <v>498</v>
      </c>
      <c r="E243" s="171"/>
      <c r="F243" s="171"/>
      <c r="G243" s="167" t="e">
        <f t="shared" si="19"/>
        <v>#DIV/0!</v>
      </c>
      <c r="H243" s="85">
        <f t="shared" si="20"/>
        <v>0</v>
      </c>
      <c r="I243" s="6"/>
      <c r="J243" s="473"/>
      <c r="K243" s="473"/>
      <c r="L243" s="11"/>
      <c r="M243" s="11"/>
    </row>
    <row r="244" spans="1:13" ht="25.5">
      <c r="A244" s="148" t="s">
        <v>42</v>
      </c>
      <c r="B244" s="151"/>
      <c r="C244" s="81">
        <v>415200</v>
      </c>
      <c r="D244" s="103" t="s">
        <v>238</v>
      </c>
      <c r="E244" s="171">
        <v>6500</v>
      </c>
      <c r="F244" s="171">
        <v>6500</v>
      </c>
      <c r="G244" s="167">
        <f t="shared" si="19"/>
        <v>100</v>
      </c>
      <c r="H244" s="85">
        <f t="shared" si="20"/>
        <v>0.02927927927927928</v>
      </c>
      <c r="I244" s="6"/>
      <c r="J244" s="473"/>
      <c r="K244" s="473"/>
      <c r="L244" s="11"/>
      <c r="M244" s="11"/>
    </row>
    <row r="245" spans="1:13" ht="24" customHeight="1">
      <c r="A245" s="150" t="s">
        <v>42</v>
      </c>
      <c r="B245" s="227"/>
      <c r="C245" s="92">
        <v>415200</v>
      </c>
      <c r="D245" s="144" t="s">
        <v>189</v>
      </c>
      <c r="E245" s="173">
        <v>10000</v>
      </c>
      <c r="F245" s="216">
        <v>40000</v>
      </c>
      <c r="G245" s="167">
        <f t="shared" si="19"/>
        <v>400</v>
      </c>
      <c r="H245" s="85">
        <f t="shared" si="20"/>
        <v>0.18018018018018017</v>
      </c>
      <c r="I245" s="6"/>
      <c r="J245" s="473"/>
      <c r="K245" s="473"/>
      <c r="L245" s="11"/>
      <c r="M245" s="11"/>
    </row>
    <row r="246" spans="1:13" ht="28.5" customHeight="1">
      <c r="A246" s="239" t="s">
        <v>42</v>
      </c>
      <c r="B246" s="227"/>
      <c r="C246" s="92">
        <v>415200</v>
      </c>
      <c r="D246" s="144" t="s">
        <v>306</v>
      </c>
      <c r="E246" s="171">
        <v>500</v>
      </c>
      <c r="F246" s="171">
        <v>500</v>
      </c>
      <c r="G246" s="167">
        <f t="shared" si="19"/>
        <v>100</v>
      </c>
      <c r="H246" s="85">
        <f t="shared" si="20"/>
        <v>0.0022522522522522522</v>
      </c>
      <c r="I246" s="6"/>
      <c r="J246" s="473"/>
      <c r="K246" s="516"/>
      <c r="L246" s="11"/>
      <c r="M246" s="11"/>
    </row>
    <row r="247" spans="1:13" ht="12.75" customHeight="1" hidden="1">
      <c r="A247" s="239" t="s">
        <v>42</v>
      </c>
      <c r="B247" s="227"/>
      <c r="C247" s="92">
        <v>415200</v>
      </c>
      <c r="D247" s="144" t="s">
        <v>442</v>
      </c>
      <c r="E247" s="171"/>
      <c r="F247" s="171"/>
      <c r="G247" s="164" t="e">
        <f t="shared" si="19"/>
        <v>#DIV/0!</v>
      </c>
      <c r="H247" s="85">
        <f t="shared" si="20"/>
        <v>0</v>
      </c>
      <c r="I247" s="6"/>
      <c r="J247" s="473"/>
      <c r="K247" s="516"/>
      <c r="L247" s="11"/>
      <c r="M247" s="11"/>
    </row>
    <row r="248" spans="1:13" ht="14.25" customHeight="1">
      <c r="A248" s="239"/>
      <c r="B248" s="240">
        <v>416000</v>
      </c>
      <c r="C248" s="241"/>
      <c r="D248" s="229" t="s">
        <v>1</v>
      </c>
      <c r="E248" s="242">
        <f>SUM(E249:E250)</f>
        <v>45000</v>
      </c>
      <c r="F248" s="242">
        <f>SUM(F249:F250)</f>
        <v>45000</v>
      </c>
      <c r="G248" s="164">
        <f t="shared" si="19"/>
        <v>100</v>
      </c>
      <c r="H248" s="169">
        <f t="shared" si="20"/>
        <v>0.20270270270270271</v>
      </c>
      <c r="I248" s="22"/>
      <c r="J248" s="473"/>
      <c r="K248" s="473"/>
      <c r="L248" s="12"/>
      <c r="M248" s="11"/>
    </row>
    <row r="249" spans="1:13" ht="13.5" customHeight="1">
      <c r="A249" s="239" t="s">
        <v>28</v>
      </c>
      <c r="B249" s="243"/>
      <c r="C249" s="92">
        <v>416100</v>
      </c>
      <c r="D249" s="144" t="s">
        <v>240</v>
      </c>
      <c r="E249" s="216">
        <v>45000</v>
      </c>
      <c r="F249" s="216">
        <v>45000</v>
      </c>
      <c r="G249" s="167">
        <f t="shared" si="19"/>
        <v>100</v>
      </c>
      <c r="H249" s="85">
        <f t="shared" si="20"/>
        <v>0.20270270270270271</v>
      </c>
      <c r="I249" s="22"/>
      <c r="J249" s="473"/>
      <c r="K249" s="478"/>
      <c r="L249" s="11"/>
      <c r="M249" s="11"/>
    </row>
    <row r="250" spans="1:13" ht="24.75" customHeight="1" hidden="1">
      <c r="A250" s="239" t="s">
        <v>28</v>
      </c>
      <c r="B250" s="243"/>
      <c r="C250" s="92">
        <v>416100</v>
      </c>
      <c r="D250" s="144" t="s">
        <v>499</v>
      </c>
      <c r="E250" s="216">
        <v>0</v>
      </c>
      <c r="F250" s="216">
        <v>0</v>
      </c>
      <c r="G250" s="167" t="e">
        <f t="shared" si="19"/>
        <v>#DIV/0!</v>
      </c>
      <c r="H250" s="85">
        <f t="shared" si="20"/>
        <v>0</v>
      </c>
      <c r="I250" s="22"/>
      <c r="J250" s="473"/>
      <c r="K250" s="478"/>
      <c r="L250" s="11"/>
      <c r="M250" s="11"/>
    </row>
    <row r="251" spans="1:13" ht="15" customHeight="1" hidden="1">
      <c r="A251" s="148"/>
      <c r="B251" s="67">
        <v>511000</v>
      </c>
      <c r="C251" s="92"/>
      <c r="D251" s="162" t="s">
        <v>138</v>
      </c>
      <c r="E251" s="164"/>
      <c r="F251" s="164"/>
      <c r="G251" s="164" t="e">
        <f t="shared" si="19"/>
        <v>#DIV/0!</v>
      </c>
      <c r="H251" s="169">
        <f t="shared" si="20"/>
        <v>0</v>
      </c>
      <c r="I251" s="6"/>
      <c r="J251" s="473"/>
      <c r="K251" s="478"/>
      <c r="L251" s="11"/>
      <c r="M251" s="11"/>
    </row>
    <row r="252" spans="1:13" ht="51" customHeight="1" hidden="1">
      <c r="A252" s="148" t="s">
        <v>42</v>
      </c>
      <c r="B252" s="67"/>
      <c r="C252" s="92">
        <v>511100</v>
      </c>
      <c r="D252" s="103" t="s">
        <v>423</v>
      </c>
      <c r="E252" s="171"/>
      <c r="F252" s="171"/>
      <c r="G252" s="164" t="e">
        <f t="shared" si="19"/>
        <v>#DIV/0!</v>
      </c>
      <c r="H252" s="85">
        <f t="shared" si="20"/>
        <v>0</v>
      </c>
      <c r="I252" s="6"/>
      <c r="J252" s="473"/>
      <c r="K252" s="478"/>
      <c r="L252" s="11"/>
      <c r="M252" s="11"/>
    </row>
    <row r="253" spans="1:13" ht="25.5" customHeight="1" hidden="1">
      <c r="A253" s="148" t="s">
        <v>42</v>
      </c>
      <c r="B253" s="67"/>
      <c r="C253" s="92">
        <v>511100</v>
      </c>
      <c r="D253" s="103" t="s">
        <v>244</v>
      </c>
      <c r="E253" s="171"/>
      <c r="F253" s="171"/>
      <c r="G253" s="164" t="e">
        <f t="shared" si="19"/>
        <v>#DIV/0!</v>
      </c>
      <c r="H253" s="85">
        <f t="shared" si="20"/>
        <v>0</v>
      </c>
      <c r="I253" s="6"/>
      <c r="J253" s="473"/>
      <c r="K253" s="478"/>
      <c r="L253" s="11"/>
      <c r="M253" s="11"/>
    </row>
    <row r="254" spans="1:13" ht="23.25" customHeight="1" hidden="1">
      <c r="A254" s="148" t="s">
        <v>42</v>
      </c>
      <c r="B254" s="67"/>
      <c r="C254" s="92">
        <v>511100</v>
      </c>
      <c r="D254" s="103" t="s">
        <v>412</v>
      </c>
      <c r="E254" s="171"/>
      <c r="F254" s="171"/>
      <c r="G254" s="164" t="e">
        <f t="shared" si="19"/>
        <v>#DIV/0!</v>
      </c>
      <c r="H254" s="85">
        <f t="shared" si="20"/>
        <v>0</v>
      </c>
      <c r="I254" s="6"/>
      <c r="J254" s="516"/>
      <c r="K254" s="478"/>
      <c r="L254" s="11"/>
      <c r="M254" s="11"/>
    </row>
    <row r="255" spans="1:13" ht="27" customHeight="1">
      <c r="A255" s="526"/>
      <c r="B255" s="527"/>
      <c r="C255" s="517" t="s">
        <v>82</v>
      </c>
      <c r="D255" s="518"/>
      <c r="E255" s="187">
        <f>E228+E232+E248+E251</f>
        <v>222700</v>
      </c>
      <c r="F255" s="187">
        <f>F228+F232+F248+F251</f>
        <v>255700</v>
      </c>
      <c r="G255" s="451">
        <f t="shared" si="19"/>
        <v>114.81814099685677</v>
      </c>
      <c r="H255" s="188">
        <f t="shared" si="20"/>
        <v>1.1518018018018017</v>
      </c>
      <c r="I255" s="6"/>
      <c r="J255" s="516"/>
      <c r="K255" s="478"/>
      <c r="L255" s="11"/>
      <c r="M255" s="11"/>
    </row>
    <row r="256" spans="1:13" ht="9.75" customHeight="1">
      <c r="A256" s="526"/>
      <c r="B256" s="527"/>
      <c r="C256" s="521" t="s">
        <v>642</v>
      </c>
      <c r="D256" s="522"/>
      <c r="E256" s="217"/>
      <c r="F256" s="217"/>
      <c r="G256" s="217"/>
      <c r="H256" s="218"/>
      <c r="I256" s="6"/>
      <c r="J256" s="516"/>
      <c r="K256" s="478"/>
      <c r="L256" s="11"/>
      <c r="M256" s="11"/>
    </row>
    <row r="257" spans="1:13" ht="9.75" customHeight="1">
      <c r="A257" s="526"/>
      <c r="B257" s="527"/>
      <c r="C257" s="523"/>
      <c r="D257" s="522"/>
      <c r="E257" s="219"/>
      <c r="F257" s="219"/>
      <c r="G257" s="219"/>
      <c r="H257" s="220"/>
      <c r="I257" s="6"/>
      <c r="J257" s="473"/>
      <c r="K257" s="478"/>
      <c r="L257" s="11"/>
      <c r="M257" s="11"/>
    </row>
    <row r="258" spans="1:13" ht="27.75" customHeight="1">
      <c r="A258" s="526"/>
      <c r="B258" s="527"/>
      <c r="C258" s="523"/>
      <c r="D258" s="522"/>
      <c r="E258" s="221"/>
      <c r="F258" s="221"/>
      <c r="G258" s="221"/>
      <c r="H258" s="222"/>
      <c r="I258" s="6"/>
      <c r="J258" s="473"/>
      <c r="K258" s="478"/>
      <c r="L258" s="12"/>
      <c r="M258" s="11"/>
    </row>
    <row r="259" spans="1:13" ht="14.25" customHeight="1">
      <c r="A259" s="148"/>
      <c r="B259" s="67">
        <v>412000</v>
      </c>
      <c r="C259" s="151"/>
      <c r="D259" s="162" t="s">
        <v>120</v>
      </c>
      <c r="E259" s="164">
        <f>SUM(E260:E264)</f>
        <v>31400</v>
      </c>
      <c r="F259" s="164">
        <f>SUM(F260:F264)</f>
        <v>30000</v>
      </c>
      <c r="G259" s="164">
        <f aca="true" t="shared" si="21" ref="G259:G265">F259/E259*100</f>
        <v>95.54140127388536</v>
      </c>
      <c r="H259" s="165">
        <f aca="true" t="shared" si="22" ref="H259:H265">F259/$F$587*100</f>
        <v>0.13513513513513514</v>
      </c>
      <c r="I259" s="6"/>
      <c r="J259" s="473"/>
      <c r="K259" s="478"/>
      <c r="L259" s="11"/>
      <c r="M259" s="11"/>
    </row>
    <row r="260" spans="1:13" ht="12.75">
      <c r="A260" s="148" t="s">
        <v>32</v>
      </c>
      <c r="B260" s="67"/>
      <c r="C260" s="81">
        <v>412700</v>
      </c>
      <c r="D260" s="144" t="s">
        <v>101</v>
      </c>
      <c r="E260" s="216">
        <v>15000</v>
      </c>
      <c r="F260" s="216">
        <v>13600</v>
      </c>
      <c r="G260" s="167">
        <f t="shared" si="21"/>
        <v>90.66666666666666</v>
      </c>
      <c r="H260" s="85">
        <f t="shared" si="22"/>
        <v>0.06126126126126127</v>
      </c>
      <c r="I260" s="6"/>
      <c r="J260" s="473"/>
      <c r="K260" s="478"/>
      <c r="L260" s="11"/>
      <c r="M260" s="11"/>
    </row>
    <row r="261" spans="1:13" ht="14.25" customHeight="1">
      <c r="A261" s="239" t="s">
        <v>32</v>
      </c>
      <c r="B261" s="227"/>
      <c r="C261" s="92">
        <v>412700</v>
      </c>
      <c r="D261" s="144" t="s">
        <v>114</v>
      </c>
      <c r="E261" s="216">
        <v>1000</v>
      </c>
      <c r="F261" s="216">
        <v>1000</v>
      </c>
      <c r="G261" s="167">
        <f t="shared" si="21"/>
        <v>100</v>
      </c>
      <c r="H261" s="85">
        <f t="shared" si="22"/>
        <v>0.0045045045045045045</v>
      </c>
      <c r="I261" s="6"/>
      <c r="J261" s="473"/>
      <c r="K261" s="478"/>
      <c r="L261" s="11"/>
      <c r="M261" s="11"/>
    </row>
    <row r="262" spans="1:13" ht="15.75" customHeight="1">
      <c r="A262" s="239" t="s">
        <v>32</v>
      </c>
      <c r="B262" s="227"/>
      <c r="C262" s="112">
        <v>412700</v>
      </c>
      <c r="D262" s="108" t="s">
        <v>184</v>
      </c>
      <c r="E262" s="173">
        <v>12000</v>
      </c>
      <c r="F262" s="173">
        <v>12000</v>
      </c>
      <c r="G262" s="167">
        <f t="shared" si="21"/>
        <v>100</v>
      </c>
      <c r="H262" s="85">
        <f t="shared" si="22"/>
        <v>0.05405405405405406</v>
      </c>
      <c r="I262" s="6"/>
      <c r="J262" s="473"/>
      <c r="K262" s="478"/>
      <c r="L262" s="11"/>
      <c r="M262" s="11"/>
    </row>
    <row r="263" spans="1:13" ht="24.75" customHeight="1">
      <c r="A263" s="150" t="s">
        <v>163</v>
      </c>
      <c r="B263" s="151"/>
      <c r="C263" s="112">
        <v>412700</v>
      </c>
      <c r="D263" s="108" t="s">
        <v>500</v>
      </c>
      <c r="E263" s="173">
        <v>3000</v>
      </c>
      <c r="F263" s="173">
        <v>3000</v>
      </c>
      <c r="G263" s="167">
        <f t="shared" si="21"/>
        <v>100</v>
      </c>
      <c r="H263" s="85">
        <f t="shared" si="22"/>
        <v>0.013513513513513514</v>
      </c>
      <c r="I263" s="6"/>
      <c r="J263" s="473"/>
      <c r="K263" s="478"/>
      <c r="L263" s="11"/>
      <c r="M263" s="11"/>
    </row>
    <row r="264" spans="1:13" ht="12.75" customHeight="1">
      <c r="A264" s="148" t="s">
        <v>23</v>
      </c>
      <c r="B264" s="151"/>
      <c r="C264" s="81">
        <v>412900</v>
      </c>
      <c r="D264" s="103" t="s">
        <v>43</v>
      </c>
      <c r="E264" s="167">
        <v>400</v>
      </c>
      <c r="F264" s="167">
        <v>400</v>
      </c>
      <c r="G264" s="167">
        <f t="shared" si="21"/>
        <v>100</v>
      </c>
      <c r="H264" s="85">
        <f t="shared" si="22"/>
        <v>0.0018018018018018018</v>
      </c>
      <c r="I264" s="6"/>
      <c r="J264" s="516"/>
      <c r="K264" s="478"/>
      <c r="L264" s="11"/>
      <c r="M264" s="11"/>
    </row>
    <row r="265" spans="1:13" ht="27.75" customHeight="1">
      <c r="A265" s="526"/>
      <c r="B265" s="527"/>
      <c r="C265" s="517" t="s">
        <v>83</v>
      </c>
      <c r="D265" s="517"/>
      <c r="E265" s="187">
        <f>E259</f>
        <v>31400</v>
      </c>
      <c r="F265" s="187">
        <f>F259</f>
        <v>30000</v>
      </c>
      <c r="G265" s="451">
        <f t="shared" si="21"/>
        <v>95.54140127388536</v>
      </c>
      <c r="H265" s="188">
        <f t="shared" si="22"/>
        <v>0.13513513513513514</v>
      </c>
      <c r="I265" s="6"/>
      <c r="J265" s="516"/>
      <c r="K265" s="478"/>
      <c r="L265" s="11"/>
      <c r="M265" s="11"/>
    </row>
    <row r="266" spans="1:13" ht="25.5" customHeight="1">
      <c r="A266" s="189"/>
      <c r="B266" s="190"/>
      <c r="C266" s="521" t="s">
        <v>641</v>
      </c>
      <c r="D266" s="522"/>
      <c r="E266" s="191"/>
      <c r="F266" s="191"/>
      <c r="G266" s="191"/>
      <c r="H266" s="192"/>
      <c r="I266" s="6"/>
      <c r="J266" s="473"/>
      <c r="K266" s="478"/>
      <c r="L266" s="11"/>
      <c r="M266" s="11"/>
    </row>
    <row r="267" spans="1:13" ht="15" customHeight="1">
      <c r="A267" s="197"/>
      <c r="B267" s="198"/>
      <c r="C267" s="523"/>
      <c r="D267" s="522"/>
      <c r="E267" s="199"/>
      <c r="F267" s="199"/>
      <c r="G267" s="199"/>
      <c r="H267" s="200"/>
      <c r="I267" s="6"/>
      <c r="J267" s="478"/>
      <c r="K267" s="478"/>
      <c r="L267" s="11"/>
      <c r="M267" s="11"/>
    </row>
    <row r="268" spans="1:13" ht="12.75">
      <c r="A268" s="148"/>
      <c r="B268" s="67">
        <v>412000</v>
      </c>
      <c r="C268" s="81"/>
      <c r="D268" s="162" t="s">
        <v>120</v>
      </c>
      <c r="E268" s="164">
        <f>SUM(E269:E277)</f>
        <v>352900</v>
      </c>
      <c r="F268" s="164">
        <f>SUM(F269:F277)</f>
        <v>377900</v>
      </c>
      <c r="G268" s="164">
        <f aca="true" t="shared" si="23" ref="G268:G283">F268/E268*100</f>
        <v>107.08415981864552</v>
      </c>
      <c r="H268" s="201">
        <f aca="true" t="shared" si="24" ref="H268:H283">F268/$F$587*100</f>
        <v>1.7022522522522523</v>
      </c>
      <c r="I268" s="6"/>
      <c r="J268" s="478"/>
      <c r="K268" s="478"/>
      <c r="L268" s="11"/>
      <c r="M268" s="11"/>
    </row>
    <row r="269" spans="1:13" ht="25.5" customHeight="1">
      <c r="A269" s="148" t="s">
        <v>23</v>
      </c>
      <c r="B269" s="151"/>
      <c r="C269" s="81">
        <v>412200</v>
      </c>
      <c r="D269" s="103" t="s">
        <v>122</v>
      </c>
      <c r="E269" s="173">
        <v>212000</v>
      </c>
      <c r="F269" s="173">
        <v>220000</v>
      </c>
      <c r="G269" s="167">
        <f t="shared" si="23"/>
        <v>103.77358490566037</v>
      </c>
      <c r="H269" s="202">
        <f t="shared" si="24"/>
        <v>0.990990990990991</v>
      </c>
      <c r="I269" s="6"/>
      <c r="J269" s="478"/>
      <c r="K269" s="478"/>
      <c r="L269" s="11"/>
      <c r="M269" s="11"/>
    </row>
    <row r="270" spans="1:13" ht="12.75">
      <c r="A270" s="148" t="s">
        <v>23</v>
      </c>
      <c r="B270" s="151"/>
      <c r="C270" s="81">
        <v>412300</v>
      </c>
      <c r="D270" s="151" t="s">
        <v>123</v>
      </c>
      <c r="E270" s="171">
        <v>50000</v>
      </c>
      <c r="F270" s="171">
        <v>50000</v>
      </c>
      <c r="G270" s="167">
        <f t="shared" si="23"/>
        <v>100</v>
      </c>
      <c r="H270" s="202">
        <f t="shared" si="24"/>
        <v>0.22522522522522523</v>
      </c>
      <c r="I270" s="6"/>
      <c r="J270" s="478"/>
      <c r="K270" s="478"/>
      <c r="L270" s="11"/>
      <c r="M270" s="11"/>
    </row>
    <row r="271" spans="1:13" ht="12.75">
      <c r="A271" s="148" t="s">
        <v>23</v>
      </c>
      <c r="B271" s="151"/>
      <c r="C271" s="81">
        <v>412500</v>
      </c>
      <c r="D271" s="151" t="s">
        <v>21</v>
      </c>
      <c r="E271" s="171">
        <v>23000</v>
      </c>
      <c r="F271" s="171">
        <v>31000</v>
      </c>
      <c r="G271" s="167">
        <f t="shared" si="23"/>
        <v>134.7826086956522</v>
      </c>
      <c r="H271" s="202">
        <f t="shared" si="24"/>
        <v>0.13963963963963966</v>
      </c>
      <c r="I271" s="6"/>
      <c r="J271" s="478"/>
      <c r="K271" s="478"/>
      <c r="L271" s="11"/>
      <c r="M271" s="11"/>
    </row>
    <row r="272" spans="1:13" ht="15.75" customHeight="1">
      <c r="A272" s="148" t="s">
        <v>23</v>
      </c>
      <c r="B272" s="151"/>
      <c r="C272" s="81">
        <v>412600</v>
      </c>
      <c r="D272" s="103" t="s">
        <v>471</v>
      </c>
      <c r="E272" s="171">
        <v>4000</v>
      </c>
      <c r="F272" s="171">
        <v>4000</v>
      </c>
      <c r="G272" s="167">
        <f t="shared" si="23"/>
        <v>100</v>
      </c>
      <c r="H272" s="202">
        <f t="shared" si="24"/>
        <v>0.018018018018018018</v>
      </c>
      <c r="I272" s="6"/>
      <c r="J272" s="478"/>
      <c r="K272" s="478"/>
      <c r="L272" s="11"/>
      <c r="M272" s="11"/>
    </row>
    <row r="273" spans="1:13" ht="12.75">
      <c r="A273" s="148" t="s">
        <v>23</v>
      </c>
      <c r="B273" s="151"/>
      <c r="C273" s="81">
        <v>412700</v>
      </c>
      <c r="D273" s="103" t="s">
        <v>270</v>
      </c>
      <c r="E273" s="173">
        <f>50000+6000</f>
        <v>56000</v>
      </c>
      <c r="F273" s="173">
        <v>65000</v>
      </c>
      <c r="G273" s="167">
        <f t="shared" si="23"/>
        <v>116.07142857142858</v>
      </c>
      <c r="H273" s="202">
        <f t="shared" si="24"/>
        <v>0.2927927927927928</v>
      </c>
      <c r="I273" s="6"/>
      <c r="J273" s="478"/>
      <c r="K273" s="478"/>
      <c r="L273" s="11"/>
      <c r="M273" s="11"/>
    </row>
    <row r="274" spans="1:13" ht="12.75">
      <c r="A274" s="148" t="s">
        <v>23</v>
      </c>
      <c r="B274" s="151"/>
      <c r="C274" s="81">
        <v>412900</v>
      </c>
      <c r="D274" s="103" t="s">
        <v>0</v>
      </c>
      <c r="E274" s="171">
        <v>400</v>
      </c>
      <c r="F274" s="171">
        <v>400</v>
      </c>
      <c r="G274" s="167">
        <f t="shared" si="23"/>
        <v>100</v>
      </c>
      <c r="H274" s="202">
        <f t="shared" si="24"/>
        <v>0.0018018018018018018</v>
      </c>
      <c r="I274" s="6"/>
      <c r="J274" s="478"/>
      <c r="K274" s="478"/>
      <c r="L274" s="11"/>
      <c r="M274" s="11"/>
    </row>
    <row r="275" spans="1:13" ht="25.5">
      <c r="A275" s="148" t="s">
        <v>23</v>
      </c>
      <c r="B275" s="151"/>
      <c r="C275" s="81">
        <v>412900</v>
      </c>
      <c r="D275" s="103" t="s">
        <v>269</v>
      </c>
      <c r="E275" s="173">
        <v>2500</v>
      </c>
      <c r="F275" s="173">
        <v>2500</v>
      </c>
      <c r="G275" s="167">
        <f t="shared" si="23"/>
        <v>100</v>
      </c>
      <c r="H275" s="202">
        <f t="shared" si="24"/>
        <v>0.01126126126126126</v>
      </c>
      <c r="I275" s="6"/>
      <c r="J275" s="478"/>
      <c r="K275" s="478"/>
      <c r="L275" s="11"/>
      <c r="M275" s="11"/>
    </row>
    <row r="276" spans="1:13" ht="14.25" customHeight="1">
      <c r="A276" s="148" t="s">
        <v>23</v>
      </c>
      <c r="B276" s="151"/>
      <c r="C276" s="81">
        <v>412900</v>
      </c>
      <c r="D276" s="103" t="s">
        <v>129</v>
      </c>
      <c r="E276" s="173">
        <v>5000</v>
      </c>
      <c r="F276" s="173">
        <v>5000</v>
      </c>
      <c r="G276" s="167">
        <f t="shared" si="23"/>
        <v>100</v>
      </c>
      <c r="H276" s="202">
        <f t="shared" si="24"/>
        <v>0.02252252252252252</v>
      </c>
      <c r="I276" s="6"/>
      <c r="J276" s="478"/>
      <c r="K276" s="478"/>
      <c r="L276" s="12"/>
      <c r="M276" s="11"/>
    </row>
    <row r="277" spans="1:13" ht="13.5" customHeight="1" hidden="1">
      <c r="A277" s="148" t="s">
        <v>23</v>
      </c>
      <c r="B277" s="151"/>
      <c r="C277" s="81">
        <v>412900</v>
      </c>
      <c r="D277" s="103" t="s">
        <v>501</v>
      </c>
      <c r="E277" s="173">
        <v>0</v>
      </c>
      <c r="F277" s="173">
        <v>0</v>
      </c>
      <c r="G277" s="167" t="e">
        <f t="shared" si="23"/>
        <v>#DIV/0!</v>
      </c>
      <c r="H277" s="202">
        <f t="shared" si="24"/>
        <v>0</v>
      </c>
      <c r="I277" s="6"/>
      <c r="J277" s="478"/>
      <c r="K277" s="478"/>
      <c r="L277" s="11"/>
      <c r="M277" s="11"/>
    </row>
    <row r="278" spans="1:13" ht="19.5" customHeight="1">
      <c r="A278" s="148"/>
      <c r="B278" s="67">
        <v>511000</v>
      </c>
      <c r="C278" s="151"/>
      <c r="D278" s="162" t="s">
        <v>138</v>
      </c>
      <c r="E278" s="203">
        <f>SUM(E279:E280)</f>
        <v>95000</v>
      </c>
      <c r="F278" s="203">
        <f>SUM(F279:F280)</f>
        <v>95000</v>
      </c>
      <c r="G278" s="164">
        <f t="shared" si="23"/>
        <v>100</v>
      </c>
      <c r="H278" s="204">
        <f t="shared" si="24"/>
        <v>0.4279279279279279</v>
      </c>
      <c r="I278" s="6"/>
      <c r="J278" s="478"/>
      <c r="K278" s="478"/>
      <c r="L278" s="11"/>
      <c r="M278" s="11"/>
    </row>
    <row r="279" spans="1:13" ht="0.75" customHeight="1" hidden="1">
      <c r="A279" s="148" t="s">
        <v>23</v>
      </c>
      <c r="B279" s="151"/>
      <c r="C279" s="227">
        <v>511200</v>
      </c>
      <c r="D279" s="144" t="s">
        <v>148</v>
      </c>
      <c r="E279" s="171">
        <v>0</v>
      </c>
      <c r="F279" s="171">
        <v>0</v>
      </c>
      <c r="G279" s="167" t="e">
        <f t="shared" si="23"/>
        <v>#DIV/0!</v>
      </c>
      <c r="H279" s="202">
        <f t="shared" si="24"/>
        <v>0</v>
      </c>
      <c r="I279" s="6"/>
      <c r="J279" s="478"/>
      <c r="K279" s="478"/>
      <c r="L279" s="11"/>
      <c r="M279" s="11"/>
    </row>
    <row r="280" spans="1:13" ht="14.25" customHeight="1">
      <c r="A280" s="148" t="s">
        <v>23</v>
      </c>
      <c r="B280" s="151"/>
      <c r="C280" s="151">
        <v>511300</v>
      </c>
      <c r="D280" s="151" t="s">
        <v>2</v>
      </c>
      <c r="E280" s="173">
        <v>95000</v>
      </c>
      <c r="F280" s="173">
        <v>95000</v>
      </c>
      <c r="G280" s="167">
        <f t="shared" si="23"/>
        <v>100</v>
      </c>
      <c r="H280" s="202">
        <f t="shared" si="24"/>
        <v>0.4279279279279279</v>
      </c>
      <c r="I280" s="360"/>
      <c r="J280" s="478"/>
      <c r="K280" s="478"/>
      <c r="L280" s="11"/>
      <c r="M280" s="11"/>
    </row>
    <row r="281" spans="1:13" ht="15" customHeight="1">
      <c r="A281" s="148"/>
      <c r="B281" s="67">
        <v>516000</v>
      </c>
      <c r="C281" s="151"/>
      <c r="D281" s="162" t="s">
        <v>300</v>
      </c>
      <c r="E281" s="203">
        <f>SUM(E282)</f>
        <v>6000</v>
      </c>
      <c r="F281" s="203">
        <f>SUM(F282)</f>
        <v>8000</v>
      </c>
      <c r="G281" s="164">
        <f t="shared" si="23"/>
        <v>133.33333333333331</v>
      </c>
      <c r="H281" s="204">
        <f t="shared" si="24"/>
        <v>0.036036036036036036</v>
      </c>
      <c r="I281" s="6"/>
      <c r="J281" s="478"/>
      <c r="K281" s="478"/>
      <c r="L281" s="11"/>
      <c r="M281" s="11"/>
    </row>
    <row r="282" spans="1:13" ht="25.5">
      <c r="A282" s="148" t="s">
        <v>23</v>
      </c>
      <c r="B282" s="151"/>
      <c r="C282" s="151">
        <v>516100</v>
      </c>
      <c r="D282" s="103" t="s">
        <v>245</v>
      </c>
      <c r="E282" s="173">
        <v>6000</v>
      </c>
      <c r="F282" s="173">
        <v>8000</v>
      </c>
      <c r="G282" s="167">
        <f t="shared" si="23"/>
        <v>133.33333333333331</v>
      </c>
      <c r="H282" s="202">
        <f t="shared" si="24"/>
        <v>0.036036036036036036</v>
      </c>
      <c r="I282" s="6"/>
      <c r="J282" s="478"/>
      <c r="K282" s="478"/>
      <c r="L282" s="11"/>
      <c r="M282" s="11"/>
    </row>
    <row r="283" spans="1:13" ht="25.5" customHeight="1">
      <c r="A283" s="526"/>
      <c r="B283" s="527"/>
      <c r="C283" s="517" t="s">
        <v>85</v>
      </c>
      <c r="D283" s="518"/>
      <c r="E283" s="187">
        <f>E268+E278+E281</f>
        <v>453900</v>
      </c>
      <c r="F283" s="187">
        <f>F268+F278+F281</f>
        <v>480900</v>
      </c>
      <c r="G283" s="451">
        <f t="shared" si="23"/>
        <v>105.94844679444813</v>
      </c>
      <c r="H283" s="205">
        <f t="shared" si="24"/>
        <v>2.166216216216216</v>
      </c>
      <c r="I283" s="6"/>
      <c r="J283" s="478"/>
      <c r="K283" s="478"/>
      <c r="L283" s="11"/>
      <c r="M283" s="11"/>
    </row>
    <row r="284" spans="1:13" ht="12.75">
      <c r="A284" s="193"/>
      <c r="B284" s="194"/>
      <c r="C284" s="532" t="s">
        <v>640</v>
      </c>
      <c r="D284" s="533"/>
      <c r="E284" s="195"/>
      <c r="F284" s="195"/>
      <c r="G284" s="195"/>
      <c r="H284" s="196"/>
      <c r="I284" s="6"/>
      <c r="J284" s="478"/>
      <c r="K284" s="478"/>
      <c r="L284" s="11"/>
      <c r="M284" s="11"/>
    </row>
    <row r="285" spans="1:13" ht="12.75">
      <c r="A285" s="193"/>
      <c r="B285" s="194"/>
      <c r="C285" s="534"/>
      <c r="D285" s="535"/>
      <c r="E285" s="195"/>
      <c r="F285" s="195"/>
      <c r="G285" s="195"/>
      <c r="H285" s="196"/>
      <c r="I285" s="6"/>
      <c r="J285" s="478"/>
      <c r="K285" s="478"/>
      <c r="L285" s="11"/>
      <c r="M285" s="11"/>
    </row>
    <row r="286" spans="1:13" ht="17.25" customHeight="1">
      <c r="A286" s="197"/>
      <c r="B286" s="198"/>
      <c r="C286" s="534"/>
      <c r="D286" s="535"/>
      <c r="E286" s="199"/>
      <c r="F286" s="199"/>
      <c r="G286" s="199"/>
      <c r="H286" s="200"/>
      <c r="I286" s="6"/>
      <c r="J286" s="478"/>
      <c r="K286" s="478"/>
      <c r="L286" s="11"/>
      <c r="M286" s="11"/>
    </row>
    <row r="287" spans="1:13" ht="12.75">
      <c r="A287" s="244"/>
      <c r="B287" s="210" t="s">
        <v>362</v>
      </c>
      <c r="C287" s="105"/>
      <c r="D287" s="75" t="s">
        <v>120</v>
      </c>
      <c r="E287" s="245">
        <f>SUM(E288:E289)</f>
        <v>19000</v>
      </c>
      <c r="F287" s="245">
        <f>SUM(F288:F289)</f>
        <v>19000</v>
      </c>
      <c r="G287" s="246">
        <f aca="true" t="shared" si="25" ref="G287:G295">F287/E287*100</f>
        <v>100</v>
      </c>
      <c r="H287" s="247">
        <f aca="true" t="shared" si="26" ref="H287:H295">F287/$F$587*100</f>
        <v>0.08558558558558559</v>
      </c>
      <c r="I287" s="6"/>
      <c r="J287" s="478"/>
      <c r="K287" s="478"/>
      <c r="L287" s="11"/>
      <c r="M287" s="11"/>
    </row>
    <row r="288" spans="1:13" ht="12.75">
      <c r="A288" s="148" t="s">
        <v>23</v>
      </c>
      <c r="B288" s="210"/>
      <c r="C288" s="111">
        <v>412700</v>
      </c>
      <c r="D288" s="82" t="s">
        <v>127</v>
      </c>
      <c r="E288" s="249">
        <v>18000</v>
      </c>
      <c r="F288" s="249">
        <v>18000</v>
      </c>
      <c r="G288" s="213">
        <f t="shared" si="25"/>
        <v>100</v>
      </c>
      <c r="H288" s="250">
        <f t="shared" si="26"/>
        <v>0.08108108108108107</v>
      </c>
      <c r="I288" s="6"/>
      <c r="J288" s="478"/>
      <c r="K288" s="478"/>
      <c r="L288" s="12"/>
      <c r="M288" s="11"/>
    </row>
    <row r="289" spans="1:13" ht="25.5">
      <c r="A289" s="148" t="s">
        <v>23</v>
      </c>
      <c r="B289" s="210"/>
      <c r="C289" s="111">
        <v>412900</v>
      </c>
      <c r="D289" s="90" t="s">
        <v>460</v>
      </c>
      <c r="E289" s="248">
        <v>1000</v>
      </c>
      <c r="F289" s="248">
        <v>1000</v>
      </c>
      <c r="G289" s="213">
        <f t="shared" si="25"/>
        <v>100</v>
      </c>
      <c r="H289" s="250">
        <f t="shared" si="26"/>
        <v>0.0045045045045045045</v>
      </c>
      <c r="I289" s="6"/>
      <c r="J289" s="478"/>
      <c r="K289" s="478"/>
      <c r="L289" s="11"/>
      <c r="M289" s="11"/>
    </row>
    <row r="290" spans="1:13" ht="12.75">
      <c r="A290" s="148"/>
      <c r="B290" s="210" t="s">
        <v>371</v>
      </c>
      <c r="C290" s="105"/>
      <c r="D290" s="75" t="s">
        <v>313</v>
      </c>
      <c r="E290" s="245">
        <f>SUM(E291:E292)</f>
        <v>109000</v>
      </c>
      <c r="F290" s="245">
        <f>SUM(F291:F292)</f>
        <v>150000</v>
      </c>
      <c r="G290" s="246">
        <f t="shared" si="25"/>
        <v>137.61467889908258</v>
      </c>
      <c r="H290" s="247">
        <f t="shared" si="26"/>
        <v>0.6756756756756757</v>
      </c>
      <c r="I290" s="6"/>
      <c r="J290" s="478"/>
      <c r="K290" s="478"/>
      <c r="L290" s="11"/>
      <c r="M290" s="11"/>
    </row>
    <row r="291" spans="1:13" ht="15.75" customHeight="1">
      <c r="A291" s="148" t="s">
        <v>23</v>
      </c>
      <c r="B291" s="210"/>
      <c r="C291" s="111">
        <v>419100</v>
      </c>
      <c r="D291" s="90" t="s">
        <v>373</v>
      </c>
      <c r="E291" s="356">
        <v>109000</v>
      </c>
      <c r="F291" s="356">
        <v>150000</v>
      </c>
      <c r="G291" s="213">
        <f t="shared" si="25"/>
        <v>137.61467889908258</v>
      </c>
      <c r="H291" s="250">
        <f t="shared" si="26"/>
        <v>0.6756756756756757</v>
      </c>
      <c r="I291" s="360"/>
      <c r="J291" s="478"/>
      <c r="K291" s="478"/>
      <c r="L291" s="11"/>
      <c r="M291" s="11"/>
    </row>
    <row r="292" spans="1:13" ht="25.5" customHeight="1" hidden="1">
      <c r="A292" s="408" t="s">
        <v>23</v>
      </c>
      <c r="B292" s="210"/>
      <c r="C292" s="111">
        <v>419100</v>
      </c>
      <c r="D292" s="90" t="s">
        <v>537</v>
      </c>
      <c r="E292" s="356"/>
      <c r="F292" s="356">
        <v>0</v>
      </c>
      <c r="G292" s="213" t="e">
        <f t="shared" si="25"/>
        <v>#DIV/0!</v>
      </c>
      <c r="H292" s="250">
        <f t="shared" si="26"/>
        <v>0</v>
      </c>
      <c r="I292" s="360"/>
      <c r="J292" s="478"/>
      <c r="K292" s="478"/>
      <c r="L292" s="11"/>
      <c r="M292" s="11"/>
    </row>
    <row r="293" spans="1:13" ht="12.75">
      <c r="A293" s="148"/>
      <c r="B293" s="210" t="s">
        <v>372</v>
      </c>
      <c r="C293" s="105"/>
      <c r="D293" s="75" t="s">
        <v>165</v>
      </c>
      <c r="E293" s="245">
        <f>SUM(E294)</f>
        <v>100000</v>
      </c>
      <c r="F293" s="245">
        <f>SUM(F294)</f>
        <v>150000</v>
      </c>
      <c r="G293" s="246">
        <f t="shared" si="25"/>
        <v>150</v>
      </c>
      <c r="H293" s="247">
        <f t="shared" si="26"/>
        <v>0.6756756756756757</v>
      </c>
      <c r="I293" s="6"/>
      <c r="J293" s="478"/>
      <c r="K293" s="478"/>
      <c r="L293" s="11"/>
      <c r="M293" s="11"/>
    </row>
    <row r="294" spans="1:13" ht="15.75" customHeight="1">
      <c r="A294" s="148" t="s">
        <v>23</v>
      </c>
      <c r="B294" s="251"/>
      <c r="C294" s="252">
        <v>513100</v>
      </c>
      <c r="D294" s="186" t="s">
        <v>232</v>
      </c>
      <c r="E294" s="83">
        <v>100000</v>
      </c>
      <c r="F294" s="83">
        <v>150000</v>
      </c>
      <c r="G294" s="213">
        <f t="shared" si="25"/>
        <v>150</v>
      </c>
      <c r="H294" s="250">
        <f t="shared" si="26"/>
        <v>0.6756756756756757</v>
      </c>
      <c r="I294" s="6"/>
      <c r="J294" s="478"/>
      <c r="K294" s="478"/>
      <c r="L294" s="11"/>
      <c r="M294" s="11"/>
    </row>
    <row r="295" spans="1:13" ht="25.5" customHeight="1">
      <c r="A295" s="148"/>
      <c r="B295" s="251"/>
      <c r="C295" s="517" t="s">
        <v>411</v>
      </c>
      <c r="D295" s="517"/>
      <c r="E295" s="253">
        <f>E287+E291+E293</f>
        <v>228000</v>
      </c>
      <c r="F295" s="253">
        <f>F287+F291+F293</f>
        <v>319000</v>
      </c>
      <c r="G295" s="397">
        <f t="shared" si="25"/>
        <v>139.91228070175438</v>
      </c>
      <c r="H295" s="254">
        <f t="shared" si="26"/>
        <v>1.436936936936937</v>
      </c>
      <c r="I295" s="6"/>
      <c r="J295" s="478"/>
      <c r="K295" s="478"/>
      <c r="L295" s="11"/>
      <c r="M295" s="11"/>
    </row>
    <row r="296" spans="1:13" ht="9.75" customHeight="1">
      <c r="A296" s="524"/>
      <c r="B296" s="525"/>
      <c r="C296" s="521" t="s">
        <v>639</v>
      </c>
      <c r="D296" s="522"/>
      <c r="E296" s="217"/>
      <c r="F296" s="217"/>
      <c r="G296" s="217"/>
      <c r="H296" s="218"/>
      <c r="I296" s="6"/>
      <c r="J296" s="478"/>
      <c r="K296" s="478"/>
      <c r="L296" s="11"/>
      <c r="M296" s="11"/>
    </row>
    <row r="297" spans="1:13" ht="9.75" customHeight="1">
      <c r="A297" s="524"/>
      <c r="B297" s="525"/>
      <c r="C297" s="523"/>
      <c r="D297" s="522"/>
      <c r="E297" s="219"/>
      <c r="F297" s="219"/>
      <c r="G297" s="219"/>
      <c r="H297" s="220"/>
      <c r="I297" s="6"/>
      <c r="J297" s="478"/>
      <c r="K297" s="478"/>
      <c r="L297" s="11"/>
      <c r="M297" s="11"/>
    </row>
    <row r="298" spans="1:13" ht="30" customHeight="1">
      <c r="A298" s="524"/>
      <c r="B298" s="525"/>
      <c r="C298" s="523"/>
      <c r="D298" s="522"/>
      <c r="E298" s="221"/>
      <c r="F298" s="221"/>
      <c r="G298" s="221"/>
      <c r="H298" s="222"/>
      <c r="I298" s="6"/>
      <c r="J298" s="478"/>
      <c r="K298" s="478"/>
      <c r="L298" s="11"/>
      <c r="M298" s="11"/>
    </row>
    <row r="299" spans="1:13" ht="14.25" customHeight="1">
      <c r="A299" s="148"/>
      <c r="B299" s="67">
        <v>412000</v>
      </c>
      <c r="C299" s="81"/>
      <c r="D299" s="162" t="s">
        <v>120</v>
      </c>
      <c r="E299" s="164">
        <f>SUM(E300:E303)</f>
        <v>53400</v>
      </c>
      <c r="F299" s="164">
        <f>SUM(F300:F303)</f>
        <v>42400</v>
      </c>
      <c r="G299" s="164">
        <f aca="true" t="shared" si="27" ref="G299:G318">F299/E299*100</f>
        <v>79.40074906367042</v>
      </c>
      <c r="H299" s="201">
        <f aca="true" t="shared" si="28" ref="H299:H318">F299/$F$587*100</f>
        <v>0.190990990990991</v>
      </c>
      <c r="I299" s="6"/>
      <c r="J299" s="478"/>
      <c r="K299" s="478"/>
      <c r="L299" s="11"/>
      <c r="M299" s="11"/>
    </row>
    <row r="300" spans="1:13" ht="12.75">
      <c r="A300" s="150" t="s">
        <v>45</v>
      </c>
      <c r="B300" s="151"/>
      <c r="C300" s="112">
        <v>412700</v>
      </c>
      <c r="D300" s="151" t="s">
        <v>44</v>
      </c>
      <c r="E300" s="173">
        <v>2000</v>
      </c>
      <c r="F300" s="173">
        <v>3000</v>
      </c>
      <c r="G300" s="167">
        <f t="shared" si="27"/>
        <v>150</v>
      </c>
      <c r="H300" s="202">
        <f t="shared" si="28"/>
        <v>0.013513513513513514</v>
      </c>
      <c r="I300" s="6"/>
      <c r="J300" s="478"/>
      <c r="K300" s="478"/>
      <c r="L300" s="11"/>
      <c r="M300" s="11"/>
    </row>
    <row r="301" spans="1:13" ht="12.75">
      <c r="A301" s="148" t="s">
        <v>45</v>
      </c>
      <c r="B301" s="151"/>
      <c r="C301" s="112">
        <v>412700</v>
      </c>
      <c r="D301" s="103" t="s">
        <v>102</v>
      </c>
      <c r="E301" s="171">
        <v>51000</v>
      </c>
      <c r="F301" s="171">
        <v>39000</v>
      </c>
      <c r="G301" s="167">
        <f t="shared" si="27"/>
        <v>76.47058823529412</v>
      </c>
      <c r="H301" s="202">
        <f t="shared" si="28"/>
        <v>0.17567567567567569</v>
      </c>
      <c r="I301" s="6"/>
      <c r="J301" s="478"/>
      <c r="K301" s="478"/>
      <c r="L301" s="11"/>
      <c r="M301" s="11"/>
    </row>
    <row r="302" spans="1:13" ht="12.75" customHeight="1" hidden="1">
      <c r="A302" s="148" t="s">
        <v>290</v>
      </c>
      <c r="B302" s="151"/>
      <c r="C302" s="112">
        <v>412700</v>
      </c>
      <c r="D302" s="103" t="s">
        <v>294</v>
      </c>
      <c r="E302" s="171"/>
      <c r="F302" s="171"/>
      <c r="G302" s="167" t="e">
        <f t="shared" si="27"/>
        <v>#DIV/0!</v>
      </c>
      <c r="H302" s="202">
        <f t="shared" si="28"/>
        <v>0</v>
      </c>
      <c r="I302" s="6"/>
      <c r="J302" s="478"/>
      <c r="K302" s="478"/>
      <c r="L302" s="11"/>
      <c r="M302" s="11"/>
    </row>
    <row r="303" spans="1:13" ht="12.75">
      <c r="A303" s="148" t="s">
        <v>23</v>
      </c>
      <c r="B303" s="151"/>
      <c r="C303" s="81">
        <v>412900</v>
      </c>
      <c r="D303" s="223" t="s">
        <v>0</v>
      </c>
      <c r="E303" s="171">
        <v>400</v>
      </c>
      <c r="F303" s="171">
        <v>400</v>
      </c>
      <c r="G303" s="167">
        <f t="shared" si="27"/>
        <v>100</v>
      </c>
      <c r="H303" s="202">
        <f t="shared" si="28"/>
        <v>0.0018018018018018018</v>
      </c>
      <c r="I303" s="6"/>
      <c r="J303" s="478"/>
      <c r="K303" s="478"/>
      <c r="L303" s="11"/>
      <c r="M303" s="11"/>
    </row>
    <row r="304" spans="1:13" ht="14.25" customHeight="1">
      <c r="A304" s="148"/>
      <c r="B304" s="67">
        <v>414000</v>
      </c>
      <c r="C304" s="112"/>
      <c r="D304" s="255" t="s">
        <v>175</v>
      </c>
      <c r="E304" s="203">
        <f>SUM(E305:E306)</f>
        <v>450000</v>
      </c>
      <c r="F304" s="203">
        <f>SUM(F305:F306)</f>
        <v>410000</v>
      </c>
      <c r="G304" s="164">
        <f t="shared" si="27"/>
        <v>91.11111111111111</v>
      </c>
      <c r="H304" s="204">
        <f t="shared" si="28"/>
        <v>1.8468468468468466</v>
      </c>
      <c r="I304" s="6"/>
      <c r="J304" s="478"/>
      <c r="K304" s="478"/>
      <c r="L304" s="11"/>
      <c r="M304" s="11"/>
    </row>
    <row r="305" spans="1:13" ht="12.75">
      <c r="A305" s="148" t="s">
        <v>45</v>
      </c>
      <c r="B305" s="151"/>
      <c r="C305" s="112">
        <v>414100</v>
      </c>
      <c r="D305" s="186" t="s">
        <v>177</v>
      </c>
      <c r="E305" s="173">
        <v>410000</v>
      </c>
      <c r="F305" s="173">
        <v>410000</v>
      </c>
      <c r="G305" s="167">
        <f t="shared" si="27"/>
        <v>100</v>
      </c>
      <c r="H305" s="202">
        <f t="shared" si="28"/>
        <v>1.8468468468468466</v>
      </c>
      <c r="I305" s="6"/>
      <c r="J305" s="478"/>
      <c r="K305" s="478"/>
      <c r="L305" s="11"/>
      <c r="M305" s="11"/>
    </row>
    <row r="306" spans="1:13" ht="15.75" customHeight="1">
      <c r="A306" s="148" t="s">
        <v>45</v>
      </c>
      <c r="B306" s="151"/>
      <c r="C306" s="112">
        <v>414100</v>
      </c>
      <c r="D306" s="186" t="s">
        <v>454</v>
      </c>
      <c r="E306" s="173">
        <v>40000</v>
      </c>
      <c r="F306" s="173">
        <v>0</v>
      </c>
      <c r="G306" s="167">
        <f t="shared" si="27"/>
        <v>0</v>
      </c>
      <c r="H306" s="202">
        <f t="shared" si="28"/>
        <v>0</v>
      </c>
      <c r="I306" s="360"/>
      <c r="J306" s="478"/>
      <c r="K306" s="478"/>
      <c r="L306" s="11"/>
      <c r="M306" s="11"/>
    </row>
    <row r="307" spans="1:13" ht="14.25" customHeight="1">
      <c r="A307" s="148"/>
      <c r="B307" s="67">
        <v>416000</v>
      </c>
      <c r="C307" s="112"/>
      <c r="D307" s="162" t="s">
        <v>1</v>
      </c>
      <c r="E307" s="256">
        <f>SUM(E308:E308)</f>
        <v>3000</v>
      </c>
      <c r="F307" s="256">
        <f>SUM(F308:F308)</f>
        <v>4000</v>
      </c>
      <c r="G307" s="164">
        <f t="shared" si="27"/>
        <v>133.33333333333331</v>
      </c>
      <c r="H307" s="204">
        <f t="shared" si="28"/>
        <v>0.018018018018018018</v>
      </c>
      <c r="I307" s="6"/>
      <c r="J307" s="478"/>
      <c r="K307" s="478"/>
      <c r="L307" s="11"/>
      <c r="M307" s="11"/>
    </row>
    <row r="308" spans="1:13" ht="12.75">
      <c r="A308" s="148" t="s">
        <v>45</v>
      </c>
      <c r="B308" s="151"/>
      <c r="C308" s="92">
        <v>416100</v>
      </c>
      <c r="D308" s="103" t="s">
        <v>180</v>
      </c>
      <c r="E308" s="173">
        <v>3000</v>
      </c>
      <c r="F308" s="173">
        <v>4000</v>
      </c>
      <c r="G308" s="167">
        <f t="shared" si="27"/>
        <v>133.33333333333331</v>
      </c>
      <c r="H308" s="202">
        <f t="shared" si="28"/>
        <v>0.018018018018018018</v>
      </c>
      <c r="I308" s="6"/>
      <c r="J308" s="478"/>
      <c r="K308" s="478"/>
      <c r="L308" s="11"/>
      <c r="M308" s="11"/>
    </row>
    <row r="309" spans="1:13" ht="25.5">
      <c r="A309" s="148"/>
      <c r="B309" s="151"/>
      <c r="C309" s="92"/>
      <c r="D309" s="162" t="s">
        <v>307</v>
      </c>
      <c r="E309" s="257">
        <f>SUM(E310:E311)</f>
        <v>300000</v>
      </c>
      <c r="F309" s="257">
        <f>SUM(F310:F311)</f>
        <v>226000</v>
      </c>
      <c r="G309" s="164">
        <f t="shared" si="27"/>
        <v>75.33333333333333</v>
      </c>
      <c r="H309" s="204">
        <f t="shared" si="28"/>
        <v>1.018018018018018</v>
      </c>
      <c r="I309" s="6"/>
      <c r="J309" s="478"/>
      <c r="K309" s="478"/>
      <c r="L309" s="11"/>
      <c r="M309" s="11"/>
    </row>
    <row r="310" spans="1:13" ht="14.25" customHeight="1">
      <c r="A310" s="148" t="s">
        <v>39</v>
      </c>
      <c r="B310" s="151"/>
      <c r="C310" s="92">
        <v>412500</v>
      </c>
      <c r="D310" s="103" t="s">
        <v>414</v>
      </c>
      <c r="E310" s="171">
        <v>50000</v>
      </c>
      <c r="F310" s="171">
        <v>50000</v>
      </c>
      <c r="G310" s="167">
        <f t="shared" si="27"/>
        <v>100</v>
      </c>
      <c r="H310" s="202">
        <f t="shared" si="28"/>
        <v>0.22522522522522523</v>
      </c>
      <c r="I310" s="6"/>
      <c r="J310" s="478"/>
      <c r="K310" s="478"/>
      <c r="L310" s="11"/>
      <c r="M310" s="11"/>
    </row>
    <row r="311" spans="1:13" ht="25.5">
      <c r="A311" s="148" t="s">
        <v>39</v>
      </c>
      <c r="B311" s="151"/>
      <c r="C311" s="92">
        <v>511200</v>
      </c>
      <c r="D311" s="103" t="s">
        <v>518</v>
      </c>
      <c r="E311" s="171">
        <v>250000</v>
      </c>
      <c r="F311" s="171">
        <v>176000</v>
      </c>
      <c r="G311" s="167">
        <f t="shared" si="27"/>
        <v>70.39999999999999</v>
      </c>
      <c r="H311" s="202">
        <f t="shared" si="28"/>
        <v>0.7927927927927928</v>
      </c>
      <c r="I311" s="6"/>
      <c r="J311" s="478"/>
      <c r="K311" s="478"/>
      <c r="L311" s="12"/>
      <c r="M311" s="11"/>
    </row>
    <row r="312" spans="1:13" ht="26.25" customHeight="1">
      <c r="A312" s="148"/>
      <c r="B312" s="151"/>
      <c r="C312" s="100"/>
      <c r="D312" s="162" t="s">
        <v>111</v>
      </c>
      <c r="E312" s="203">
        <f>SUM(E313:E317)</f>
        <v>137000</v>
      </c>
      <c r="F312" s="203">
        <f>SUM(F313:F317)</f>
        <v>125000</v>
      </c>
      <c r="G312" s="164">
        <f t="shared" si="27"/>
        <v>91.24087591240875</v>
      </c>
      <c r="H312" s="204">
        <f t="shared" si="28"/>
        <v>0.5630630630630631</v>
      </c>
      <c r="I312" s="6"/>
      <c r="J312" s="478"/>
      <c r="K312" s="478"/>
      <c r="L312" s="11"/>
      <c r="M312" s="11"/>
    </row>
    <row r="313" spans="1:13" ht="14.25" customHeight="1">
      <c r="A313" s="150" t="s">
        <v>162</v>
      </c>
      <c r="B313" s="151"/>
      <c r="C313" s="112">
        <v>412700</v>
      </c>
      <c r="D313" s="103" t="s">
        <v>112</v>
      </c>
      <c r="E313" s="173">
        <v>5000</v>
      </c>
      <c r="F313" s="173">
        <v>5000</v>
      </c>
      <c r="G313" s="167">
        <f t="shared" si="27"/>
        <v>100</v>
      </c>
      <c r="H313" s="202">
        <f t="shared" si="28"/>
        <v>0.02252252252252252</v>
      </c>
      <c r="I313" s="6"/>
      <c r="J313" s="478"/>
      <c r="K313" s="478"/>
      <c r="L313" s="11"/>
      <c r="M313" s="11"/>
    </row>
    <row r="314" spans="1:13" ht="25.5">
      <c r="A314" s="150" t="s">
        <v>45</v>
      </c>
      <c r="B314" s="151"/>
      <c r="C314" s="92">
        <v>412800</v>
      </c>
      <c r="D314" s="103" t="s">
        <v>274</v>
      </c>
      <c r="E314" s="173">
        <v>10000</v>
      </c>
      <c r="F314" s="173">
        <v>10000</v>
      </c>
      <c r="G314" s="167">
        <f t="shared" si="27"/>
        <v>100</v>
      </c>
      <c r="H314" s="202">
        <f t="shared" si="28"/>
        <v>0.04504504504504504</v>
      </c>
      <c r="I314" s="6"/>
      <c r="J314" s="478"/>
      <c r="K314" s="478"/>
      <c r="L314" s="11"/>
      <c r="M314" s="11"/>
    </row>
    <row r="315" spans="1:13" ht="6" customHeight="1" hidden="1">
      <c r="A315" s="150" t="s">
        <v>160</v>
      </c>
      <c r="B315" s="151"/>
      <c r="C315" s="92">
        <v>415200</v>
      </c>
      <c r="D315" s="108" t="s">
        <v>395</v>
      </c>
      <c r="E315" s="173"/>
      <c r="F315" s="173"/>
      <c r="G315" s="167" t="e">
        <f t="shared" si="27"/>
        <v>#DIV/0!</v>
      </c>
      <c r="H315" s="202">
        <f t="shared" si="28"/>
        <v>0</v>
      </c>
      <c r="I315" s="6"/>
      <c r="J315" s="478"/>
      <c r="K315" s="516"/>
      <c r="L315" s="11"/>
      <c r="M315" s="11"/>
    </row>
    <row r="316" spans="1:13" ht="15.75" customHeight="1">
      <c r="A316" s="258" t="s">
        <v>160</v>
      </c>
      <c r="B316" s="151"/>
      <c r="C316" s="92">
        <v>415200</v>
      </c>
      <c r="D316" s="144" t="s">
        <v>467</v>
      </c>
      <c r="E316" s="173">
        <v>40000</v>
      </c>
      <c r="F316" s="173">
        <v>25000</v>
      </c>
      <c r="G316" s="167">
        <f t="shared" si="27"/>
        <v>62.5</v>
      </c>
      <c r="H316" s="202">
        <f t="shared" si="28"/>
        <v>0.11261261261261261</v>
      </c>
      <c r="I316" s="6"/>
      <c r="J316" s="478"/>
      <c r="K316" s="516"/>
      <c r="L316" s="11"/>
      <c r="M316" s="11"/>
    </row>
    <row r="317" spans="1:13" ht="25.5" customHeight="1">
      <c r="A317" s="150" t="s">
        <v>160</v>
      </c>
      <c r="B317" s="151"/>
      <c r="C317" s="92">
        <v>511200</v>
      </c>
      <c r="D317" s="144" t="s">
        <v>445</v>
      </c>
      <c r="E317" s="173">
        <v>82000</v>
      </c>
      <c r="F317" s="173">
        <v>85000</v>
      </c>
      <c r="G317" s="167">
        <f t="shared" si="27"/>
        <v>103.65853658536585</v>
      </c>
      <c r="H317" s="202">
        <f t="shared" si="28"/>
        <v>0.38288288288288286</v>
      </c>
      <c r="I317" s="6"/>
      <c r="J317" s="478"/>
      <c r="K317" s="516"/>
      <c r="L317" s="11"/>
      <c r="M317" s="11"/>
    </row>
    <row r="318" spans="1:13" ht="24.75" customHeight="1">
      <c r="A318" s="526"/>
      <c r="B318" s="527"/>
      <c r="C318" s="517" t="s">
        <v>84</v>
      </c>
      <c r="D318" s="517"/>
      <c r="E318" s="187">
        <f>E299+E304+E307+E309+E312</f>
        <v>943400</v>
      </c>
      <c r="F318" s="187">
        <f>F299+F304+F307+F309+F312</f>
        <v>807400</v>
      </c>
      <c r="G318" s="451">
        <f t="shared" si="27"/>
        <v>85.58405766376934</v>
      </c>
      <c r="H318" s="205">
        <f t="shared" si="28"/>
        <v>3.636936936936937</v>
      </c>
      <c r="I318" s="6"/>
      <c r="J318" s="478"/>
      <c r="K318" s="473"/>
      <c r="L318" s="11"/>
      <c r="M318" s="11"/>
    </row>
    <row r="319" spans="1:13" ht="12.75">
      <c r="A319" s="524"/>
      <c r="B319" s="525"/>
      <c r="C319" s="521" t="s">
        <v>638</v>
      </c>
      <c r="D319" s="522"/>
      <c r="E319" s="217"/>
      <c r="F319" s="217"/>
      <c r="G319" s="217"/>
      <c r="H319" s="218"/>
      <c r="I319" s="6"/>
      <c r="J319" s="478"/>
      <c r="K319" s="473"/>
      <c r="L319" s="11"/>
      <c r="M319" s="11"/>
    </row>
    <row r="320" spans="1:13" ht="12.75">
      <c r="A320" s="524"/>
      <c r="B320" s="525"/>
      <c r="C320" s="523"/>
      <c r="D320" s="522"/>
      <c r="E320" s="219"/>
      <c r="F320" s="219"/>
      <c r="G320" s="219"/>
      <c r="H320" s="220"/>
      <c r="I320" s="6"/>
      <c r="J320" s="478"/>
      <c r="K320" s="473"/>
      <c r="L320" s="11"/>
      <c r="M320" s="11"/>
    </row>
    <row r="321" spans="1:13" ht="17.25" customHeight="1">
      <c r="A321" s="524"/>
      <c r="B321" s="525"/>
      <c r="C321" s="523"/>
      <c r="D321" s="522"/>
      <c r="E321" s="221"/>
      <c r="F321" s="221"/>
      <c r="G321" s="221"/>
      <c r="H321" s="222"/>
      <c r="I321" s="6"/>
      <c r="J321" s="478"/>
      <c r="K321" s="473"/>
      <c r="L321" s="11"/>
      <c r="M321" s="11"/>
    </row>
    <row r="322" spans="1:13" ht="14.25" customHeight="1">
      <c r="A322" s="148"/>
      <c r="B322" s="67">
        <v>411000</v>
      </c>
      <c r="C322" s="93"/>
      <c r="D322" s="86" t="s">
        <v>329</v>
      </c>
      <c r="E322" s="163">
        <f>SUM(E323:E326)</f>
        <v>294000</v>
      </c>
      <c r="F322" s="163">
        <f>SUM(F323:F326)</f>
        <v>324100</v>
      </c>
      <c r="G322" s="164">
        <f aca="true" t="shared" si="29" ref="G322:G364">F322/E322*100</f>
        <v>110.23809523809524</v>
      </c>
      <c r="H322" s="201">
        <f aca="true" t="shared" si="30" ref="H322:H364">F322/$F$587*100</f>
        <v>1.45990990990991</v>
      </c>
      <c r="I322" s="6"/>
      <c r="J322" s="478"/>
      <c r="K322" s="473"/>
      <c r="L322" s="11"/>
      <c r="M322" s="11"/>
    </row>
    <row r="323" spans="1:13" ht="12.75" customHeight="1">
      <c r="A323" s="148">
        <v>1090</v>
      </c>
      <c r="B323" s="151"/>
      <c r="C323" s="81">
        <v>411100</v>
      </c>
      <c r="D323" s="87" t="s">
        <v>325</v>
      </c>
      <c r="E323" s="171">
        <v>225000</v>
      </c>
      <c r="F323" s="167">
        <v>246000</v>
      </c>
      <c r="G323" s="167">
        <f t="shared" si="29"/>
        <v>109.33333333333333</v>
      </c>
      <c r="H323" s="202">
        <f t="shared" si="30"/>
        <v>1.1081081081081081</v>
      </c>
      <c r="I323" s="6"/>
      <c r="J323" s="478"/>
      <c r="K323" s="473"/>
      <c r="L323" s="11"/>
      <c r="M323" s="11"/>
    </row>
    <row r="324" spans="1:13" ht="25.5">
      <c r="A324" s="148">
        <v>1090</v>
      </c>
      <c r="B324" s="151"/>
      <c r="C324" s="81">
        <v>411200</v>
      </c>
      <c r="D324" s="87" t="s">
        <v>330</v>
      </c>
      <c r="E324" s="171">
        <v>60000</v>
      </c>
      <c r="F324" s="171">
        <v>69100</v>
      </c>
      <c r="G324" s="167">
        <f t="shared" si="29"/>
        <v>115.16666666666666</v>
      </c>
      <c r="H324" s="202">
        <f t="shared" si="30"/>
        <v>0.3112612612612613</v>
      </c>
      <c r="I324" s="6"/>
      <c r="J324" s="478"/>
      <c r="K324" s="473"/>
      <c r="L324" s="11"/>
      <c r="M324" s="11"/>
    </row>
    <row r="325" spans="1:13" ht="25.5">
      <c r="A325" s="148">
        <v>1090</v>
      </c>
      <c r="B325" s="151"/>
      <c r="C325" s="81">
        <v>411300</v>
      </c>
      <c r="D325" s="87" t="s">
        <v>415</v>
      </c>
      <c r="E325" s="171">
        <v>5000</v>
      </c>
      <c r="F325" s="171">
        <v>5000</v>
      </c>
      <c r="G325" s="167">
        <f t="shared" si="29"/>
        <v>100</v>
      </c>
      <c r="H325" s="202">
        <f t="shared" si="30"/>
        <v>0.02252252252252252</v>
      </c>
      <c r="I325" s="6"/>
      <c r="J325" s="478"/>
      <c r="K325" s="473"/>
      <c r="L325" s="11"/>
      <c r="M325" s="11"/>
    </row>
    <row r="326" spans="1:13" ht="12.75" customHeight="1">
      <c r="A326" s="148">
        <v>1090</v>
      </c>
      <c r="B326" s="151"/>
      <c r="C326" s="81">
        <v>411400</v>
      </c>
      <c r="D326" s="88" t="s">
        <v>326</v>
      </c>
      <c r="E326" s="173">
        <v>4000</v>
      </c>
      <c r="F326" s="173">
        <v>4000</v>
      </c>
      <c r="G326" s="167">
        <f t="shared" si="29"/>
        <v>100</v>
      </c>
      <c r="H326" s="202">
        <f t="shared" si="30"/>
        <v>0.018018018018018018</v>
      </c>
      <c r="I326" s="6"/>
      <c r="J326" s="478"/>
      <c r="K326" s="473"/>
      <c r="L326" s="11"/>
      <c r="M326" s="11"/>
    </row>
    <row r="327" spans="1:13" ht="14.25" customHeight="1">
      <c r="A327" s="148"/>
      <c r="B327" s="67">
        <v>412000</v>
      </c>
      <c r="C327" s="81"/>
      <c r="D327" s="162" t="s">
        <v>120</v>
      </c>
      <c r="E327" s="203">
        <f>SUM(E328:E338)</f>
        <v>125250</v>
      </c>
      <c r="F327" s="203">
        <f>SUM(F328:F338)</f>
        <v>137500</v>
      </c>
      <c r="G327" s="164">
        <f t="shared" si="29"/>
        <v>109.78043912175647</v>
      </c>
      <c r="H327" s="204">
        <f t="shared" si="30"/>
        <v>0.6193693693693694</v>
      </c>
      <c r="I327" s="6"/>
      <c r="J327" s="478"/>
      <c r="K327" s="473"/>
      <c r="L327" s="11"/>
      <c r="M327" s="11"/>
    </row>
    <row r="328" spans="1:13" ht="12.75" customHeight="1">
      <c r="A328" s="148">
        <v>1090</v>
      </c>
      <c r="B328" s="151"/>
      <c r="C328" s="81">
        <v>412100</v>
      </c>
      <c r="D328" s="103" t="s">
        <v>121</v>
      </c>
      <c r="E328" s="171">
        <v>22850</v>
      </c>
      <c r="F328" s="171">
        <v>0</v>
      </c>
      <c r="G328" s="167">
        <f t="shared" si="29"/>
        <v>0</v>
      </c>
      <c r="H328" s="202">
        <f t="shared" si="30"/>
        <v>0</v>
      </c>
      <c r="I328" s="6"/>
      <c r="J328" s="478"/>
      <c r="K328" s="473"/>
      <c r="L328" s="11"/>
      <c r="M328" s="11"/>
    </row>
    <row r="329" spans="1:13" ht="26.25" customHeight="1">
      <c r="A329" s="148">
        <v>1090</v>
      </c>
      <c r="B329" s="151"/>
      <c r="C329" s="81">
        <v>412200</v>
      </c>
      <c r="D329" s="103" t="s">
        <v>122</v>
      </c>
      <c r="E329" s="173">
        <v>65000</v>
      </c>
      <c r="F329" s="173">
        <v>63650</v>
      </c>
      <c r="G329" s="167">
        <f t="shared" si="29"/>
        <v>97.92307692307692</v>
      </c>
      <c r="H329" s="202">
        <f t="shared" si="30"/>
        <v>0.2867117117117117</v>
      </c>
      <c r="I329" s="6"/>
      <c r="J329" s="478"/>
      <c r="K329" s="473"/>
      <c r="L329" s="11"/>
      <c r="M329" s="11"/>
    </row>
    <row r="330" spans="1:13" ht="12.75" customHeight="1">
      <c r="A330" s="148">
        <v>1090</v>
      </c>
      <c r="B330" s="151"/>
      <c r="C330" s="81">
        <v>412300</v>
      </c>
      <c r="D330" s="151" t="s">
        <v>123</v>
      </c>
      <c r="E330" s="173">
        <v>5500</v>
      </c>
      <c r="F330" s="173">
        <v>5500</v>
      </c>
      <c r="G330" s="167">
        <f t="shared" si="29"/>
        <v>100</v>
      </c>
      <c r="H330" s="202">
        <f t="shared" si="30"/>
        <v>0.024774774774774775</v>
      </c>
      <c r="I330" s="6"/>
      <c r="J330" s="478"/>
      <c r="K330" s="473"/>
      <c r="L330" s="11"/>
      <c r="M330" s="11"/>
    </row>
    <row r="331" spans="1:13" ht="12.75" customHeight="1">
      <c r="A331" s="148">
        <v>1090</v>
      </c>
      <c r="B331" s="151"/>
      <c r="C331" s="81">
        <v>412500</v>
      </c>
      <c r="D331" s="151" t="s">
        <v>125</v>
      </c>
      <c r="E331" s="173">
        <v>3000</v>
      </c>
      <c r="F331" s="173">
        <v>3000</v>
      </c>
      <c r="G331" s="167">
        <f t="shared" si="29"/>
        <v>100</v>
      </c>
      <c r="H331" s="202">
        <f t="shared" si="30"/>
        <v>0.013513513513513514</v>
      </c>
      <c r="I331" s="6"/>
      <c r="J331" s="478"/>
      <c r="K331" s="473"/>
      <c r="L331" s="11"/>
      <c r="M331" s="11"/>
    </row>
    <row r="332" spans="1:13" ht="12.75" customHeight="1">
      <c r="A332" s="148">
        <v>1090</v>
      </c>
      <c r="B332" s="151"/>
      <c r="C332" s="81">
        <v>412600</v>
      </c>
      <c r="D332" s="223" t="s">
        <v>126</v>
      </c>
      <c r="E332" s="173">
        <v>600</v>
      </c>
      <c r="F332" s="173">
        <v>600</v>
      </c>
      <c r="G332" s="167">
        <f t="shared" si="29"/>
        <v>100</v>
      </c>
      <c r="H332" s="202">
        <f t="shared" si="30"/>
        <v>0.002702702702702703</v>
      </c>
      <c r="I332" s="6"/>
      <c r="J332" s="478"/>
      <c r="K332" s="473"/>
      <c r="L332" s="11"/>
      <c r="M332" s="11"/>
    </row>
    <row r="333" spans="1:13" ht="12.75" customHeight="1">
      <c r="A333" s="148" t="s">
        <v>28</v>
      </c>
      <c r="B333" s="151"/>
      <c r="C333" s="151">
        <v>412700</v>
      </c>
      <c r="D333" s="151" t="s">
        <v>127</v>
      </c>
      <c r="E333" s="173">
        <v>3500</v>
      </c>
      <c r="F333" s="173">
        <v>3500</v>
      </c>
      <c r="G333" s="167">
        <f t="shared" si="29"/>
        <v>100</v>
      </c>
      <c r="H333" s="202">
        <f t="shared" si="30"/>
        <v>0.015765765765765764</v>
      </c>
      <c r="I333" s="6"/>
      <c r="J333" s="516"/>
      <c r="K333" s="473"/>
      <c r="L333" s="11"/>
      <c r="M333" s="11"/>
    </row>
    <row r="334" spans="1:13" ht="12.75" customHeight="1">
      <c r="A334" s="148" t="s">
        <v>28</v>
      </c>
      <c r="B334" s="151"/>
      <c r="C334" s="151">
        <v>412900</v>
      </c>
      <c r="D334" s="151" t="s">
        <v>517</v>
      </c>
      <c r="E334" s="173">
        <v>19000</v>
      </c>
      <c r="F334" s="173">
        <v>19000</v>
      </c>
      <c r="G334" s="167">
        <f t="shared" si="29"/>
        <v>100</v>
      </c>
      <c r="H334" s="202">
        <f t="shared" si="30"/>
        <v>0.08558558558558559</v>
      </c>
      <c r="I334" s="6"/>
      <c r="J334" s="516"/>
      <c r="K334" s="516"/>
      <c r="L334" s="12"/>
      <c r="M334" s="11"/>
    </row>
    <row r="335" spans="1:13" ht="12.75" customHeight="1">
      <c r="A335" s="148" t="s">
        <v>28</v>
      </c>
      <c r="B335" s="151"/>
      <c r="C335" s="151">
        <v>412900</v>
      </c>
      <c r="D335" s="151" t="s">
        <v>129</v>
      </c>
      <c r="E335" s="173">
        <v>1000</v>
      </c>
      <c r="F335" s="173">
        <v>3000</v>
      </c>
      <c r="G335" s="167">
        <f t="shared" si="29"/>
        <v>300</v>
      </c>
      <c r="H335" s="202">
        <f t="shared" si="30"/>
        <v>0.013513513513513514</v>
      </c>
      <c r="I335" s="6"/>
      <c r="J335" s="516"/>
      <c r="K335" s="516"/>
      <c r="L335" s="11"/>
      <c r="M335" s="11"/>
    </row>
    <row r="336" spans="1:13" ht="12.75" customHeight="1">
      <c r="A336" s="148" t="s">
        <v>28</v>
      </c>
      <c r="B336" s="151"/>
      <c r="C336" s="151">
        <v>412900</v>
      </c>
      <c r="D336" s="151" t="s">
        <v>429</v>
      </c>
      <c r="E336" s="173">
        <v>4800</v>
      </c>
      <c r="F336" s="173">
        <v>4800</v>
      </c>
      <c r="G336" s="167">
        <f t="shared" si="29"/>
        <v>100</v>
      </c>
      <c r="H336" s="202">
        <f t="shared" si="30"/>
        <v>0.021621621621621623</v>
      </c>
      <c r="I336" s="6"/>
      <c r="J336" s="473"/>
      <c r="K336" s="473"/>
      <c r="L336" s="11"/>
      <c r="M336" s="11"/>
    </row>
    <row r="337" spans="1:13" ht="12.75" customHeight="1">
      <c r="A337" s="275" t="s">
        <v>28</v>
      </c>
      <c r="B337" s="151"/>
      <c r="C337" s="151">
        <v>418400</v>
      </c>
      <c r="D337" s="103" t="s">
        <v>623</v>
      </c>
      <c r="E337" s="173">
        <v>0</v>
      </c>
      <c r="F337" s="173">
        <v>22850</v>
      </c>
      <c r="G337" s="167" t="e">
        <f t="shared" si="29"/>
        <v>#DIV/0!</v>
      </c>
      <c r="H337" s="202">
        <f t="shared" si="30"/>
        <v>0.10292792792792793</v>
      </c>
      <c r="I337" s="6"/>
      <c r="J337" s="473"/>
      <c r="K337" s="473"/>
      <c r="L337" s="11"/>
      <c r="M337" s="11"/>
    </row>
    <row r="338" spans="1:13" ht="27.75" customHeight="1">
      <c r="A338" s="275" t="s">
        <v>28</v>
      </c>
      <c r="B338" s="151"/>
      <c r="C338" s="151">
        <v>418400</v>
      </c>
      <c r="D338" s="103" t="s">
        <v>624</v>
      </c>
      <c r="E338" s="173">
        <v>0</v>
      </c>
      <c r="F338" s="173">
        <v>11600</v>
      </c>
      <c r="G338" s="167" t="e">
        <f t="shared" si="29"/>
        <v>#DIV/0!</v>
      </c>
      <c r="H338" s="202">
        <f t="shared" si="30"/>
        <v>0.05225225225225225</v>
      </c>
      <c r="I338" s="6"/>
      <c r="J338" s="473"/>
      <c r="K338" s="473"/>
      <c r="L338" s="11"/>
      <c r="M338" s="11"/>
    </row>
    <row r="339" spans="1:13" ht="14.25" customHeight="1">
      <c r="A339" s="148"/>
      <c r="B339" s="67"/>
      <c r="C339" s="81"/>
      <c r="D339" s="174" t="s">
        <v>46</v>
      </c>
      <c r="E339" s="168">
        <f>SUM(E340:E354)</f>
        <v>2904000</v>
      </c>
      <c r="F339" s="168">
        <f>SUM(F340:F354)</f>
        <v>3143000</v>
      </c>
      <c r="G339" s="164">
        <f t="shared" si="29"/>
        <v>108.23002754820936</v>
      </c>
      <c r="H339" s="204">
        <f t="shared" si="30"/>
        <v>14.157657657657657</v>
      </c>
      <c r="I339" s="6"/>
      <c r="J339" s="473"/>
      <c r="K339" s="473"/>
      <c r="L339" s="475"/>
      <c r="M339" s="11"/>
    </row>
    <row r="340" spans="1:13" ht="12.75">
      <c r="A340" s="148">
        <v>1090</v>
      </c>
      <c r="B340" s="151"/>
      <c r="C340" s="81">
        <v>416100</v>
      </c>
      <c r="D340" s="103" t="s">
        <v>48</v>
      </c>
      <c r="E340" s="171">
        <v>105000</v>
      </c>
      <c r="F340" s="171">
        <v>100000</v>
      </c>
      <c r="G340" s="167">
        <f t="shared" si="29"/>
        <v>95.23809523809523</v>
      </c>
      <c r="H340" s="202">
        <f t="shared" si="30"/>
        <v>0.45045045045045046</v>
      </c>
      <c r="I340" s="6"/>
      <c r="J340" s="473"/>
      <c r="K340" s="473"/>
      <c r="L340" s="475"/>
      <c r="M340" s="11"/>
    </row>
    <row r="341" spans="1:13" ht="12.75" customHeight="1">
      <c r="A341" s="148" t="s">
        <v>28</v>
      </c>
      <c r="B341" s="151"/>
      <c r="C341" s="81">
        <v>416100</v>
      </c>
      <c r="D341" s="103" t="s">
        <v>193</v>
      </c>
      <c r="E341" s="171">
        <v>105000</v>
      </c>
      <c r="F341" s="171">
        <v>100000</v>
      </c>
      <c r="G341" s="167">
        <f t="shared" si="29"/>
        <v>95.23809523809523</v>
      </c>
      <c r="H341" s="202">
        <f t="shared" si="30"/>
        <v>0.45045045045045046</v>
      </c>
      <c r="I341" s="6"/>
      <c r="J341" s="473"/>
      <c r="K341" s="473"/>
      <c r="L341" s="475"/>
      <c r="M341" s="11"/>
    </row>
    <row r="342" spans="1:13" ht="12.75" customHeight="1">
      <c r="A342" s="148">
        <v>1090</v>
      </c>
      <c r="B342" s="151"/>
      <c r="C342" s="81">
        <v>416100</v>
      </c>
      <c r="D342" s="103" t="s">
        <v>104</v>
      </c>
      <c r="E342" s="173">
        <v>820000</v>
      </c>
      <c r="F342" s="216">
        <v>900000</v>
      </c>
      <c r="G342" s="167">
        <f t="shared" si="29"/>
        <v>109.75609756097562</v>
      </c>
      <c r="H342" s="202">
        <f t="shared" si="30"/>
        <v>4.054054054054054</v>
      </c>
      <c r="I342" s="6"/>
      <c r="J342" s="473"/>
      <c r="K342" s="516"/>
      <c r="L342" s="476"/>
      <c r="M342" s="12"/>
    </row>
    <row r="343" spans="1:13" ht="12.75">
      <c r="A343" s="148" t="s">
        <v>28</v>
      </c>
      <c r="B343" s="151"/>
      <c r="C343" s="81">
        <v>416100</v>
      </c>
      <c r="D343" s="103" t="s">
        <v>194</v>
      </c>
      <c r="E343" s="173">
        <v>820000</v>
      </c>
      <c r="F343" s="216">
        <v>900000</v>
      </c>
      <c r="G343" s="167">
        <f t="shared" si="29"/>
        <v>109.75609756097562</v>
      </c>
      <c r="H343" s="202">
        <f t="shared" si="30"/>
        <v>4.054054054054054</v>
      </c>
      <c r="I343" s="6"/>
      <c r="J343" s="473"/>
      <c r="K343" s="516"/>
      <c r="L343" s="11"/>
      <c r="M343" s="11"/>
    </row>
    <row r="344" spans="1:13" ht="12.75" customHeight="1">
      <c r="A344" s="148">
        <v>1090</v>
      </c>
      <c r="B344" s="151"/>
      <c r="C344" s="112">
        <v>416100</v>
      </c>
      <c r="D344" s="103" t="s">
        <v>50</v>
      </c>
      <c r="E344" s="173">
        <v>15000</v>
      </c>
      <c r="F344" s="173">
        <v>15000</v>
      </c>
      <c r="G344" s="167">
        <f t="shared" si="29"/>
        <v>100</v>
      </c>
      <c r="H344" s="202">
        <f t="shared" si="30"/>
        <v>0.06756756756756757</v>
      </c>
      <c r="I344" s="6"/>
      <c r="J344" s="473"/>
      <c r="K344" s="473"/>
      <c r="L344" s="11"/>
      <c r="M344" s="11"/>
    </row>
    <row r="345" spans="1:13" ht="12.75" customHeight="1">
      <c r="A345" s="148">
        <v>1090</v>
      </c>
      <c r="B345" s="151"/>
      <c r="C345" s="112">
        <v>416100</v>
      </c>
      <c r="D345" s="103" t="s">
        <v>51</v>
      </c>
      <c r="E345" s="173">
        <v>55000</v>
      </c>
      <c r="F345" s="173">
        <v>55000</v>
      </c>
      <c r="G345" s="167">
        <f t="shared" si="29"/>
        <v>100</v>
      </c>
      <c r="H345" s="202">
        <f t="shared" si="30"/>
        <v>0.24774774774774774</v>
      </c>
      <c r="I345" s="6"/>
      <c r="J345" s="473"/>
      <c r="K345" s="473"/>
      <c r="L345" s="477"/>
      <c r="M345" s="11"/>
    </row>
    <row r="346" spans="1:13" ht="26.25" customHeight="1">
      <c r="A346" s="148" t="s">
        <v>28</v>
      </c>
      <c r="B346" s="151"/>
      <c r="C346" s="112">
        <v>416100</v>
      </c>
      <c r="D346" s="103" t="s">
        <v>424</v>
      </c>
      <c r="E346" s="173">
        <v>360000</v>
      </c>
      <c r="F346" s="173">
        <v>390000</v>
      </c>
      <c r="G346" s="167">
        <f t="shared" si="29"/>
        <v>108.33333333333333</v>
      </c>
      <c r="H346" s="202">
        <f t="shared" si="30"/>
        <v>1.7567567567567568</v>
      </c>
      <c r="I346" s="6"/>
      <c r="J346" s="473"/>
      <c r="K346" s="473"/>
      <c r="L346" s="477"/>
      <c r="M346" s="475"/>
    </row>
    <row r="347" spans="1:13" ht="38.25">
      <c r="A347" s="148" t="s">
        <v>28</v>
      </c>
      <c r="B347" s="151"/>
      <c r="C347" s="112">
        <v>416100</v>
      </c>
      <c r="D347" s="103" t="s">
        <v>449</v>
      </c>
      <c r="E347" s="173">
        <v>14000</v>
      </c>
      <c r="F347" s="173">
        <v>16000</v>
      </c>
      <c r="G347" s="167">
        <f t="shared" si="29"/>
        <v>114.28571428571428</v>
      </c>
      <c r="H347" s="202">
        <f t="shared" si="30"/>
        <v>0.07207207207207207</v>
      </c>
      <c r="I347" s="6"/>
      <c r="J347" s="473"/>
      <c r="K347" s="473"/>
      <c r="L347" s="477"/>
      <c r="M347" s="475"/>
    </row>
    <row r="348" spans="1:13" ht="14.25" customHeight="1">
      <c r="A348" s="148" t="s">
        <v>28</v>
      </c>
      <c r="B348" s="151"/>
      <c r="C348" s="112">
        <v>416100</v>
      </c>
      <c r="D348" s="103" t="s">
        <v>468</v>
      </c>
      <c r="E348" s="173">
        <v>33000</v>
      </c>
      <c r="F348" s="173">
        <v>33000</v>
      </c>
      <c r="G348" s="167">
        <f t="shared" si="29"/>
        <v>100</v>
      </c>
      <c r="H348" s="202">
        <f t="shared" si="30"/>
        <v>0.14864864864864866</v>
      </c>
      <c r="I348" s="6"/>
      <c r="J348" s="473"/>
      <c r="K348" s="473"/>
      <c r="L348" s="11"/>
      <c r="M348" s="475"/>
    </row>
    <row r="349" spans="1:13" ht="12.75" customHeight="1">
      <c r="A349" s="148" t="s">
        <v>28</v>
      </c>
      <c r="B349" s="151"/>
      <c r="C349" s="81">
        <v>416300</v>
      </c>
      <c r="D349" s="151" t="s">
        <v>49</v>
      </c>
      <c r="E349" s="173">
        <v>93000</v>
      </c>
      <c r="F349" s="173">
        <v>100000</v>
      </c>
      <c r="G349" s="167">
        <f t="shared" si="29"/>
        <v>107.5268817204301</v>
      </c>
      <c r="H349" s="202">
        <f t="shared" si="30"/>
        <v>0.45045045045045046</v>
      </c>
      <c r="I349" s="6"/>
      <c r="J349" s="473"/>
      <c r="K349" s="473"/>
      <c r="L349" s="11"/>
      <c r="M349" s="476"/>
    </row>
    <row r="350" spans="1:13" ht="26.25" customHeight="1">
      <c r="A350" s="148" t="s">
        <v>28</v>
      </c>
      <c r="B350" s="151"/>
      <c r="C350" s="81">
        <v>416300</v>
      </c>
      <c r="D350" s="103" t="s">
        <v>469</v>
      </c>
      <c r="E350" s="173">
        <v>19000</v>
      </c>
      <c r="F350" s="173">
        <v>15000</v>
      </c>
      <c r="G350" s="167">
        <f t="shared" si="29"/>
        <v>78.94736842105263</v>
      </c>
      <c r="H350" s="202">
        <f t="shared" si="30"/>
        <v>0.06756756756756757</v>
      </c>
      <c r="I350" s="6"/>
      <c r="J350" s="473"/>
      <c r="K350" s="473"/>
      <c r="L350" s="11"/>
      <c r="M350" s="11"/>
    </row>
    <row r="351" spans="1:13" ht="12.75" customHeight="1">
      <c r="A351" s="148">
        <v>1090</v>
      </c>
      <c r="B351" s="151"/>
      <c r="C351" s="81">
        <v>416300</v>
      </c>
      <c r="D351" s="103" t="s">
        <v>103</v>
      </c>
      <c r="E351" s="173">
        <v>270000</v>
      </c>
      <c r="F351" s="216">
        <v>300000</v>
      </c>
      <c r="G351" s="167">
        <f t="shared" si="29"/>
        <v>111.11111111111111</v>
      </c>
      <c r="H351" s="202">
        <f t="shared" si="30"/>
        <v>1.3513513513513513</v>
      </c>
      <c r="I351" s="6"/>
      <c r="J351" s="473"/>
      <c r="K351" s="473"/>
      <c r="L351" s="11"/>
      <c r="M351" s="11"/>
    </row>
    <row r="352" spans="1:13" ht="13.5" customHeight="1">
      <c r="A352" s="148" t="s">
        <v>28</v>
      </c>
      <c r="B352" s="151"/>
      <c r="C352" s="81">
        <v>418200</v>
      </c>
      <c r="D352" s="103" t="s">
        <v>502</v>
      </c>
      <c r="E352" s="173">
        <v>25000</v>
      </c>
      <c r="F352" s="173">
        <v>19000</v>
      </c>
      <c r="G352" s="167">
        <f t="shared" si="29"/>
        <v>76</v>
      </c>
      <c r="H352" s="202">
        <f t="shared" si="30"/>
        <v>0.08558558558558559</v>
      </c>
      <c r="I352" s="6"/>
      <c r="J352" s="516"/>
      <c r="K352" s="473"/>
      <c r="L352" s="11"/>
      <c r="M352" s="12"/>
    </row>
    <row r="353" spans="1:13" ht="12.75" customHeight="1">
      <c r="A353" s="148" t="s">
        <v>28</v>
      </c>
      <c r="B353" s="67"/>
      <c r="C353" s="112">
        <v>487400</v>
      </c>
      <c r="D353" s="108" t="s">
        <v>47</v>
      </c>
      <c r="E353" s="216">
        <v>90000</v>
      </c>
      <c r="F353" s="216">
        <v>115000</v>
      </c>
      <c r="G353" s="167">
        <f t="shared" si="29"/>
        <v>127.77777777777777</v>
      </c>
      <c r="H353" s="202">
        <f t="shared" si="30"/>
        <v>0.5180180180180181</v>
      </c>
      <c r="I353" s="6"/>
      <c r="J353" s="516"/>
      <c r="K353" s="473"/>
      <c r="L353" s="11"/>
      <c r="M353" s="12"/>
    </row>
    <row r="354" spans="1:13" ht="12.75" customHeight="1">
      <c r="A354" s="148" t="s">
        <v>28</v>
      </c>
      <c r="B354" s="151"/>
      <c r="C354" s="112">
        <v>487400</v>
      </c>
      <c r="D354" s="108" t="s">
        <v>195</v>
      </c>
      <c r="E354" s="167">
        <v>80000</v>
      </c>
      <c r="F354" s="167">
        <v>85000</v>
      </c>
      <c r="G354" s="167">
        <f t="shared" si="29"/>
        <v>106.25</v>
      </c>
      <c r="H354" s="202">
        <f t="shared" si="30"/>
        <v>0.38288288288288286</v>
      </c>
      <c r="I354" s="6"/>
      <c r="J354" s="473"/>
      <c r="K354" s="473"/>
      <c r="L354" s="11"/>
      <c r="M354" s="12"/>
    </row>
    <row r="355" spans="1:13" ht="12.75" customHeight="1">
      <c r="A355" s="148"/>
      <c r="B355" s="67">
        <v>419000</v>
      </c>
      <c r="C355" s="81"/>
      <c r="D355" s="162" t="s">
        <v>313</v>
      </c>
      <c r="E355" s="203">
        <f>SUM(E356)</f>
        <v>2500</v>
      </c>
      <c r="F355" s="203">
        <f>SUM(F356)</f>
        <v>2500</v>
      </c>
      <c r="G355" s="164">
        <f t="shared" si="29"/>
        <v>100</v>
      </c>
      <c r="H355" s="204">
        <f t="shared" si="30"/>
        <v>0.01126126126126126</v>
      </c>
      <c r="I355" s="6"/>
      <c r="J355" s="473"/>
      <c r="K355" s="473"/>
      <c r="L355" s="11"/>
      <c r="M355" s="11"/>
    </row>
    <row r="356" spans="1:13" ht="12.75" customHeight="1">
      <c r="A356" s="148" t="s">
        <v>28</v>
      </c>
      <c r="B356" s="151"/>
      <c r="C356" s="81">
        <v>419100</v>
      </c>
      <c r="D356" s="151" t="s">
        <v>313</v>
      </c>
      <c r="E356" s="171">
        <v>2500</v>
      </c>
      <c r="F356" s="171">
        <v>2500</v>
      </c>
      <c r="G356" s="167">
        <f t="shared" si="29"/>
        <v>100</v>
      </c>
      <c r="H356" s="202">
        <f t="shared" si="30"/>
        <v>0.01126126126126126</v>
      </c>
      <c r="I356" s="6"/>
      <c r="J356" s="473"/>
      <c r="K356" s="473"/>
      <c r="L356" s="11"/>
      <c r="M356" s="11"/>
    </row>
    <row r="357" spans="1:13" ht="14.25" customHeight="1">
      <c r="A357" s="148"/>
      <c r="B357" s="67">
        <v>511000</v>
      </c>
      <c r="C357" s="81"/>
      <c r="D357" s="162" t="s">
        <v>138</v>
      </c>
      <c r="E357" s="203">
        <f>SUM(E358:E359)</f>
        <v>1500</v>
      </c>
      <c r="F357" s="203">
        <f>SUM(F358:F359)</f>
        <v>1500</v>
      </c>
      <c r="G357" s="164">
        <f t="shared" si="29"/>
        <v>100</v>
      </c>
      <c r="H357" s="204">
        <f t="shared" si="30"/>
        <v>0.006756756756756757</v>
      </c>
      <c r="I357" s="6"/>
      <c r="J357" s="473"/>
      <c r="K357" s="473"/>
      <c r="L357" s="12"/>
      <c r="M357" s="11"/>
    </row>
    <row r="358" spans="1:13" ht="14.25" customHeight="1" hidden="1">
      <c r="A358" s="148" t="s">
        <v>28</v>
      </c>
      <c r="B358" s="67"/>
      <c r="C358" s="81">
        <v>511200</v>
      </c>
      <c r="D358" s="103" t="s">
        <v>425</v>
      </c>
      <c r="E358" s="171"/>
      <c r="F358" s="171"/>
      <c r="G358" s="164" t="e">
        <f t="shared" si="29"/>
        <v>#DIV/0!</v>
      </c>
      <c r="H358" s="202">
        <f t="shared" si="30"/>
        <v>0</v>
      </c>
      <c r="I358" s="6"/>
      <c r="J358" s="473"/>
      <c r="K358" s="473"/>
      <c r="L358" s="11"/>
      <c r="M358" s="11"/>
    </row>
    <row r="359" spans="1:13" ht="12.75" customHeight="1">
      <c r="A359" s="148">
        <v>1090</v>
      </c>
      <c r="B359" s="151"/>
      <c r="C359" s="81">
        <v>511300</v>
      </c>
      <c r="D359" s="151" t="s">
        <v>2</v>
      </c>
      <c r="E359" s="171">
        <v>1500</v>
      </c>
      <c r="F359" s="171">
        <v>1500</v>
      </c>
      <c r="G359" s="167">
        <f t="shared" si="29"/>
        <v>100</v>
      </c>
      <c r="H359" s="202">
        <f t="shared" si="30"/>
        <v>0.006756756756756757</v>
      </c>
      <c r="I359" s="6"/>
      <c r="J359" s="473"/>
      <c r="K359" s="473"/>
      <c r="L359" s="11"/>
      <c r="M359" s="11"/>
    </row>
    <row r="360" spans="1:13" ht="24.75" customHeight="1">
      <c r="A360" s="155"/>
      <c r="B360" s="67">
        <v>516000</v>
      </c>
      <c r="C360" s="151"/>
      <c r="D360" s="162" t="s">
        <v>300</v>
      </c>
      <c r="E360" s="168">
        <f>SUM(E361)</f>
        <v>1000</v>
      </c>
      <c r="F360" s="168">
        <f>SUM(F361)</f>
        <v>1000</v>
      </c>
      <c r="G360" s="164">
        <f t="shared" si="29"/>
        <v>100</v>
      </c>
      <c r="H360" s="204">
        <f t="shared" si="30"/>
        <v>0.0045045045045045045</v>
      </c>
      <c r="I360" s="6"/>
      <c r="J360" s="473"/>
      <c r="K360" s="473"/>
      <c r="L360" s="11"/>
      <c r="M360" s="11"/>
    </row>
    <row r="361" spans="1:13" ht="12.75">
      <c r="A361" s="155" t="s">
        <v>28</v>
      </c>
      <c r="B361" s="151"/>
      <c r="C361" s="151">
        <v>516100</v>
      </c>
      <c r="D361" s="103" t="s">
        <v>288</v>
      </c>
      <c r="E361" s="171">
        <v>1000</v>
      </c>
      <c r="F361" s="171">
        <v>1000</v>
      </c>
      <c r="G361" s="167">
        <f t="shared" si="29"/>
        <v>100</v>
      </c>
      <c r="H361" s="202">
        <f t="shared" si="30"/>
        <v>0.0045045045045045045</v>
      </c>
      <c r="I361" s="6"/>
      <c r="J361" s="473"/>
      <c r="K361" s="473"/>
      <c r="L361" s="12"/>
      <c r="M361" s="11"/>
    </row>
    <row r="362" spans="1:13" ht="15.75" customHeight="1">
      <c r="A362" s="155"/>
      <c r="B362" s="67">
        <v>638000</v>
      </c>
      <c r="C362" s="81"/>
      <c r="D362" s="162" t="s">
        <v>327</v>
      </c>
      <c r="E362" s="168">
        <f>SUM(E363)</f>
        <v>12000</v>
      </c>
      <c r="F362" s="168">
        <f>SUM(F363)</f>
        <v>12000</v>
      </c>
      <c r="G362" s="164">
        <f t="shared" si="29"/>
        <v>100</v>
      </c>
      <c r="H362" s="204">
        <f t="shared" si="30"/>
        <v>0.05405405405405406</v>
      </c>
      <c r="I362" s="6"/>
      <c r="J362" s="473"/>
      <c r="K362" s="473"/>
      <c r="L362" s="11"/>
      <c r="M362" s="11"/>
    </row>
    <row r="363" spans="1:13" ht="28.5" customHeight="1">
      <c r="A363" s="148"/>
      <c r="B363" s="151"/>
      <c r="C363" s="81">
        <v>638100</v>
      </c>
      <c r="D363" s="103" t="s">
        <v>328</v>
      </c>
      <c r="E363" s="173">
        <v>12000</v>
      </c>
      <c r="F363" s="173">
        <v>12000</v>
      </c>
      <c r="G363" s="167">
        <f t="shared" si="29"/>
        <v>100</v>
      </c>
      <c r="H363" s="202">
        <f t="shared" si="30"/>
        <v>0.05405405405405406</v>
      </c>
      <c r="I363" s="6"/>
      <c r="J363" s="473"/>
      <c r="K363" s="473"/>
      <c r="L363" s="11"/>
      <c r="M363" s="11"/>
    </row>
    <row r="364" spans="1:13" ht="30" customHeight="1">
      <c r="A364" s="526"/>
      <c r="B364" s="527"/>
      <c r="C364" s="517" t="s">
        <v>86</v>
      </c>
      <c r="D364" s="518"/>
      <c r="E364" s="187">
        <f>E322+E327+E339+E355+E357+E360+E362</f>
        <v>3340250</v>
      </c>
      <c r="F364" s="187">
        <f>F322+F327+F339+F355+F357+F360+F362</f>
        <v>3621600</v>
      </c>
      <c r="G364" s="451">
        <f t="shared" si="29"/>
        <v>108.42302222887508</v>
      </c>
      <c r="H364" s="205">
        <f t="shared" si="30"/>
        <v>16.313513513513513</v>
      </c>
      <c r="I364" s="6"/>
      <c r="J364" s="473"/>
      <c r="K364" s="473"/>
      <c r="L364" s="11"/>
      <c r="M364" s="11"/>
    </row>
    <row r="365" spans="1:13" ht="12.75">
      <c r="A365" s="189"/>
      <c r="B365" s="190"/>
      <c r="C365" s="521" t="s">
        <v>637</v>
      </c>
      <c r="D365" s="522"/>
      <c r="E365" s="191"/>
      <c r="F365" s="191"/>
      <c r="G365" s="191"/>
      <c r="H365" s="259"/>
      <c r="I365" s="6"/>
      <c r="J365" s="473"/>
      <c r="K365" s="473"/>
      <c r="L365" s="11"/>
      <c r="M365" s="11"/>
    </row>
    <row r="366" spans="1:13" ht="12.75">
      <c r="A366" s="193"/>
      <c r="B366" s="194"/>
      <c r="C366" s="523"/>
      <c r="D366" s="522"/>
      <c r="E366" s="195"/>
      <c r="F366" s="195"/>
      <c r="G366" s="195"/>
      <c r="H366" s="260"/>
      <c r="I366" s="6"/>
      <c r="J366" s="473"/>
      <c r="K366" s="473"/>
      <c r="L366" s="11"/>
      <c r="M366" s="11"/>
    </row>
    <row r="367" spans="1:13" ht="16.5" customHeight="1">
      <c r="A367" s="197"/>
      <c r="B367" s="198"/>
      <c r="C367" s="523"/>
      <c r="D367" s="522"/>
      <c r="E367" s="199"/>
      <c r="F367" s="199"/>
      <c r="G367" s="199"/>
      <c r="H367" s="261"/>
      <c r="I367" s="6"/>
      <c r="J367" s="473"/>
      <c r="K367" s="473"/>
      <c r="L367" s="11"/>
      <c r="M367" s="11"/>
    </row>
    <row r="368" spans="1:13" ht="12.75">
      <c r="A368" s="148"/>
      <c r="B368" s="67">
        <v>411000</v>
      </c>
      <c r="C368" s="151"/>
      <c r="D368" s="86" t="s">
        <v>329</v>
      </c>
      <c r="E368" s="163">
        <f>SUM(E369:E372)</f>
        <v>582000</v>
      </c>
      <c r="F368" s="163">
        <f>SUM(F369:F372)</f>
        <v>630000</v>
      </c>
      <c r="G368" s="164">
        <f aca="true" t="shared" si="31" ref="G368:G389">F368/E368*100</f>
        <v>108.24742268041237</v>
      </c>
      <c r="H368" s="201">
        <f aca="true" t="shared" si="32" ref="H368:H389">F368/$F$587*100</f>
        <v>2.837837837837838</v>
      </c>
      <c r="I368" s="6"/>
      <c r="J368" s="473"/>
      <c r="K368" s="473"/>
      <c r="L368" s="11"/>
      <c r="M368" s="12"/>
    </row>
    <row r="369" spans="1:13" ht="12.75">
      <c r="A369" s="148" t="s">
        <v>53</v>
      </c>
      <c r="B369" s="151"/>
      <c r="C369" s="81">
        <v>411100</v>
      </c>
      <c r="D369" s="87" t="s">
        <v>325</v>
      </c>
      <c r="E369" s="173">
        <v>450000</v>
      </c>
      <c r="F369" s="216">
        <v>484000</v>
      </c>
      <c r="G369" s="167">
        <f t="shared" si="31"/>
        <v>107.55555555555556</v>
      </c>
      <c r="H369" s="202">
        <f t="shared" si="32"/>
        <v>2.18018018018018</v>
      </c>
      <c r="I369" s="6"/>
      <c r="J369" s="473"/>
      <c r="K369" s="473"/>
      <c r="L369" s="11"/>
      <c r="M369" s="11"/>
    </row>
    <row r="370" spans="1:13" ht="25.5" customHeight="1">
      <c r="A370" s="148" t="s">
        <v>53</v>
      </c>
      <c r="B370" s="151"/>
      <c r="C370" s="81">
        <v>411200</v>
      </c>
      <c r="D370" s="87" t="s">
        <v>330</v>
      </c>
      <c r="E370" s="173">
        <v>125000</v>
      </c>
      <c r="F370" s="173">
        <v>130000</v>
      </c>
      <c r="G370" s="167">
        <f t="shared" si="31"/>
        <v>104</v>
      </c>
      <c r="H370" s="202">
        <f t="shared" si="32"/>
        <v>0.5855855855855856</v>
      </c>
      <c r="I370" s="6"/>
      <c r="J370" s="473"/>
      <c r="K370" s="473"/>
      <c r="L370" s="11"/>
      <c r="M370" s="11"/>
    </row>
    <row r="371" spans="1:13" ht="25.5">
      <c r="A371" s="148" t="s">
        <v>53</v>
      </c>
      <c r="B371" s="151"/>
      <c r="C371" s="81">
        <v>411300</v>
      </c>
      <c r="D371" s="87" t="s">
        <v>415</v>
      </c>
      <c r="E371" s="171">
        <v>4000</v>
      </c>
      <c r="F371" s="171">
        <v>11000</v>
      </c>
      <c r="G371" s="167">
        <f t="shared" si="31"/>
        <v>275</v>
      </c>
      <c r="H371" s="202">
        <f t="shared" si="32"/>
        <v>0.04954954954954955</v>
      </c>
      <c r="I371" s="6"/>
      <c r="J371" s="473"/>
      <c r="K371" s="473"/>
      <c r="L371" s="11"/>
      <c r="M371" s="11"/>
    </row>
    <row r="372" spans="1:13" ht="12.75">
      <c r="A372" s="148" t="s">
        <v>53</v>
      </c>
      <c r="B372" s="151"/>
      <c r="C372" s="81">
        <v>411400</v>
      </c>
      <c r="D372" s="88" t="s">
        <v>326</v>
      </c>
      <c r="E372" s="171">
        <v>3000</v>
      </c>
      <c r="F372" s="171">
        <v>5000</v>
      </c>
      <c r="G372" s="167">
        <f t="shared" si="31"/>
        <v>166.66666666666669</v>
      </c>
      <c r="H372" s="202">
        <f t="shared" si="32"/>
        <v>0.02252252252252252</v>
      </c>
      <c r="I372" s="6"/>
      <c r="J372" s="516"/>
      <c r="K372" s="473"/>
      <c r="L372" s="11"/>
      <c r="M372" s="11"/>
    </row>
    <row r="373" spans="1:13" ht="12.75">
      <c r="A373" s="148"/>
      <c r="B373" s="67">
        <v>412000</v>
      </c>
      <c r="C373" s="81"/>
      <c r="D373" s="162" t="s">
        <v>120</v>
      </c>
      <c r="E373" s="203">
        <f>SUM(E374:E381)</f>
        <v>114710</v>
      </c>
      <c r="F373" s="203">
        <f>SUM(F374:F381)</f>
        <v>118210</v>
      </c>
      <c r="G373" s="164">
        <f t="shared" si="31"/>
        <v>103.05117252201204</v>
      </c>
      <c r="H373" s="204">
        <f t="shared" si="32"/>
        <v>0.5324774774774774</v>
      </c>
      <c r="I373" s="6"/>
      <c r="J373" s="516"/>
      <c r="K373" s="473"/>
      <c r="L373" s="11"/>
      <c r="M373" s="11"/>
    </row>
    <row r="374" spans="1:13" ht="25.5">
      <c r="A374" s="148" t="s">
        <v>53</v>
      </c>
      <c r="B374" s="67"/>
      <c r="C374" s="81">
        <v>412200</v>
      </c>
      <c r="D374" s="103" t="s">
        <v>122</v>
      </c>
      <c r="E374" s="171">
        <v>35000</v>
      </c>
      <c r="F374" s="171">
        <v>35000</v>
      </c>
      <c r="G374" s="167">
        <f t="shared" si="31"/>
        <v>100</v>
      </c>
      <c r="H374" s="202">
        <f t="shared" si="32"/>
        <v>0.15765765765765766</v>
      </c>
      <c r="I374" s="6"/>
      <c r="J374" s="473"/>
      <c r="K374" s="473"/>
      <c r="L374" s="11"/>
      <c r="M374" s="11"/>
    </row>
    <row r="375" spans="1:13" ht="12.75">
      <c r="A375" s="148" t="s">
        <v>53</v>
      </c>
      <c r="B375" s="67"/>
      <c r="C375" s="81">
        <v>412300</v>
      </c>
      <c r="D375" s="151" t="s">
        <v>123</v>
      </c>
      <c r="E375" s="171">
        <v>8000</v>
      </c>
      <c r="F375" s="171">
        <v>8000</v>
      </c>
      <c r="G375" s="167">
        <f t="shared" si="31"/>
        <v>100</v>
      </c>
      <c r="H375" s="202">
        <f t="shared" si="32"/>
        <v>0.036036036036036036</v>
      </c>
      <c r="I375" s="6"/>
      <c r="J375" s="473"/>
      <c r="K375" s="473"/>
      <c r="L375" s="11"/>
      <c r="M375" s="11"/>
    </row>
    <row r="376" spans="1:13" ht="12.75">
      <c r="A376" s="148" t="s">
        <v>53</v>
      </c>
      <c r="B376" s="67"/>
      <c r="C376" s="81">
        <v>412400</v>
      </c>
      <c r="D376" s="103" t="s">
        <v>124</v>
      </c>
      <c r="E376" s="173">
        <v>45000</v>
      </c>
      <c r="F376" s="173">
        <v>45000</v>
      </c>
      <c r="G376" s="167">
        <f t="shared" si="31"/>
        <v>100</v>
      </c>
      <c r="H376" s="202">
        <f t="shared" si="32"/>
        <v>0.20270270270270271</v>
      </c>
      <c r="I376" s="6"/>
      <c r="J376" s="473"/>
      <c r="K376" s="473"/>
      <c r="L376" s="11"/>
      <c r="M376" s="11"/>
    </row>
    <row r="377" spans="1:13" ht="12.75">
      <c r="A377" s="148" t="s">
        <v>53</v>
      </c>
      <c r="B377" s="67"/>
      <c r="C377" s="81">
        <v>412500</v>
      </c>
      <c r="D377" s="151" t="s">
        <v>125</v>
      </c>
      <c r="E377" s="173">
        <v>10000</v>
      </c>
      <c r="F377" s="173">
        <v>10000</v>
      </c>
      <c r="G377" s="167">
        <f t="shared" si="31"/>
        <v>100</v>
      </c>
      <c r="H377" s="202">
        <f t="shared" si="32"/>
        <v>0.04504504504504504</v>
      </c>
      <c r="I377" s="6"/>
      <c r="J377" s="473"/>
      <c r="K377" s="473"/>
      <c r="L377" s="11"/>
      <c r="M377" s="11"/>
    </row>
    <row r="378" spans="1:13" ht="12.75">
      <c r="A378" s="148" t="s">
        <v>53</v>
      </c>
      <c r="B378" s="67"/>
      <c r="C378" s="81">
        <v>412600</v>
      </c>
      <c r="D378" s="151" t="s">
        <v>126</v>
      </c>
      <c r="E378" s="173">
        <v>600</v>
      </c>
      <c r="F378" s="173">
        <v>600</v>
      </c>
      <c r="G378" s="167">
        <f t="shared" si="31"/>
        <v>100</v>
      </c>
      <c r="H378" s="202">
        <f t="shared" si="32"/>
        <v>0.002702702702702703</v>
      </c>
      <c r="I378" s="6"/>
      <c r="J378" s="473"/>
      <c r="K378" s="473"/>
      <c r="L378" s="12"/>
      <c r="M378" s="11"/>
    </row>
    <row r="379" spans="1:13" ht="12.75">
      <c r="A379" s="148" t="s">
        <v>53</v>
      </c>
      <c r="B379" s="67"/>
      <c r="C379" s="151">
        <v>412700</v>
      </c>
      <c r="D379" s="151" t="s">
        <v>127</v>
      </c>
      <c r="E379" s="173">
        <v>1200</v>
      </c>
      <c r="F379" s="173">
        <v>1200</v>
      </c>
      <c r="G379" s="167">
        <f t="shared" si="31"/>
        <v>100</v>
      </c>
      <c r="H379" s="202">
        <f t="shared" si="32"/>
        <v>0.005405405405405406</v>
      </c>
      <c r="I379" s="6"/>
      <c r="J379" s="473"/>
      <c r="K379" s="473"/>
      <c r="L379" s="11"/>
      <c r="M379" s="11"/>
    </row>
    <row r="380" spans="1:13" ht="12.75">
      <c r="A380" s="148" t="s">
        <v>53</v>
      </c>
      <c r="B380" s="67"/>
      <c r="C380" s="151">
        <v>412900</v>
      </c>
      <c r="D380" s="151" t="s">
        <v>129</v>
      </c>
      <c r="E380" s="173">
        <v>10000</v>
      </c>
      <c r="F380" s="173">
        <v>13500</v>
      </c>
      <c r="G380" s="167">
        <f t="shared" si="31"/>
        <v>135</v>
      </c>
      <c r="H380" s="202">
        <f t="shared" si="32"/>
        <v>0.06081081081081081</v>
      </c>
      <c r="I380" s="6"/>
      <c r="J380" s="473"/>
      <c r="K380" s="473"/>
      <c r="L380" s="11"/>
      <c r="M380" s="11"/>
    </row>
    <row r="381" spans="1:13" ht="38.25">
      <c r="A381" s="148" t="s">
        <v>53</v>
      </c>
      <c r="B381" s="67"/>
      <c r="C381" s="151">
        <v>412900</v>
      </c>
      <c r="D381" s="103" t="s">
        <v>354</v>
      </c>
      <c r="E381" s="173">
        <v>4910</v>
      </c>
      <c r="F381" s="173">
        <v>4910</v>
      </c>
      <c r="G381" s="167">
        <f t="shared" si="31"/>
        <v>100</v>
      </c>
      <c r="H381" s="202">
        <f t="shared" si="32"/>
        <v>0.022117117117117117</v>
      </c>
      <c r="I381" s="6"/>
      <c r="J381" s="473"/>
      <c r="K381" s="516"/>
      <c r="L381" s="479"/>
      <c r="M381" s="11"/>
    </row>
    <row r="382" spans="1:13" ht="12.75">
      <c r="A382" s="148"/>
      <c r="B382" s="67">
        <v>511000</v>
      </c>
      <c r="C382" s="81"/>
      <c r="D382" s="162" t="s">
        <v>138</v>
      </c>
      <c r="E382" s="203">
        <f>SUM(E383:E384)</f>
        <v>7000</v>
      </c>
      <c r="F382" s="203">
        <f>SUM(F383:F384)</f>
        <v>7000</v>
      </c>
      <c r="G382" s="164">
        <f t="shared" si="31"/>
        <v>100</v>
      </c>
      <c r="H382" s="204">
        <f t="shared" si="32"/>
        <v>0.03153153153153153</v>
      </c>
      <c r="I382" s="6"/>
      <c r="J382" s="473"/>
      <c r="K382" s="516"/>
      <c r="L382" s="479"/>
      <c r="M382" s="11"/>
    </row>
    <row r="383" spans="1:13" ht="11.25" customHeight="1">
      <c r="A383" s="148" t="s">
        <v>53</v>
      </c>
      <c r="B383" s="67"/>
      <c r="C383" s="81">
        <v>511100</v>
      </c>
      <c r="D383" s="103" t="s">
        <v>626</v>
      </c>
      <c r="E383" s="171">
        <v>0</v>
      </c>
      <c r="F383" s="171">
        <v>0</v>
      </c>
      <c r="G383" s="167" t="e">
        <f t="shared" si="31"/>
        <v>#DIV/0!</v>
      </c>
      <c r="H383" s="262">
        <f t="shared" si="32"/>
        <v>0</v>
      </c>
      <c r="I383" s="8"/>
      <c r="J383" s="473"/>
      <c r="K383" s="473"/>
      <c r="L383" s="11"/>
      <c r="M383" s="11"/>
    </row>
    <row r="384" spans="1:13" ht="12.75">
      <c r="A384" s="148" t="s">
        <v>53</v>
      </c>
      <c r="B384" s="67"/>
      <c r="C384" s="81">
        <v>511300</v>
      </c>
      <c r="D384" s="151" t="s">
        <v>2</v>
      </c>
      <c r="E384" s="173">
        <v>7000</v>
      </c>
      <c r="F384" s="173">
        <v>7000</v>
      </c>
      <c r="G384" s="167">
        <f t="shared" si="31"/>
        <v>100</v>
      </c>
      <c r="H384" s="202">
        <f t="shared" si="32"/>
        <v>0.03153153153153153</v>
      </c>
      <c r="I384" s="6"/>
      <c r="J384" s="473"/>
      <c r="K384" s="473"/>
      <c r="L384" s="11"/>
      <c r="M384" s="11"/>
    </row>
    <row r="385" spans="1:13" ht="24" customHeight="1">
      <c r="A385" s="148"/>
      <c r="B385" s="67">
        <v>516000</v>
      </c>
      <c r="C385" s="81"/>
      <c r="D385" s="162" t="s">
        <v>300</v>
      </c>
      <c r="E385" s="203">
        <f>SUM(E386:E386)</f>
        <v>3000</v>
      </c>
      <c r="F385" s="203">
        <f>SUM(F386:F386)</f>
        <v>3000</v>
      </c>
      <c r="G385" s="164">
        <f t="shared" si="31"/>
        <v>100</v>
      </c>
      <c r="H385" s="204">
        <f t="shared" si="32"/>
        <v>0.013513513513513514</v>
      </c>
      <c r="I385" s="6"/>
      <c r="J385" s="473"/>
      <c r="K385" s="473"/>
      <c r="L385" s="11"/>
      <c r="M385" s="11"/>
    </row>
    <row r="386" spans="1:13" ht="12.75">
      <c r="A386" s="148" t="s">
        <v>53</v>
      </c>
      <c r="B386" s="151"/>
      <c r="C386" s="81">
        <v>516100</v>
      </c>
      <c r="D386" s="151" t="s">
        <v>289</v>
      </c>
      <c r="E386" s="173">
        <v>3000</v>
      </c>
      <c r="F386" s="173">
        <v>3000</v>
      </c>
      <c r="G386" s="167">
        <f t="shared" si="31"/>
        <v>100</v>
      </c>
      <c r="H386" s="202">
        <f t="shared" si="32"/>
        <v>0.013513513513513514</v>
      </c>
      <c r="I386" s="6"/>
      <c r="J386" s="473"/>
      <c r="K386" s="473"/>
      <c r="L386" s="11"/>
      <c r="M386" s="11"/>
    </row>
    <row r="387" spans="1:13" ht="25.5">
      <c r="A387" s="148"/>
      <c r="B387" s="67">
        <v>638000</v>
      </c>
      <c r="C387" s="81"/>
      <c r="D387" s="162" t="s">
        <v>327</v>
      </c>
      <c r="E387" s="168">
        <f>SUM(E388)</f>
        <v>20000</v>
      </c>
      <c r="F387" s="168">
        <f>SUM(F388)</f>
        <v>48000</v>
      </c>
      <c r="G387" s="164">
        <f t="shared" si="31"/>
        <v>240</v>
      </c>
      <c r="H387" s="204">
        <f t="shared" si="32"/>
        <v>0.21621621621621623</v>
      </c>
      <c r="I387" s="6"/>
      <c r="J387" s="473"/>
      <c r="K387" s="473"/>
      <c r="L387" s="11"/>
      <c r="M387" s="11"/>
    </row>
    <row r="388" spans="1:13" ht="38.25">
      <c r="A388" s="148"/>
      <c r="B388" s="151"/>
      <c r="C388" s="81">
        <v>638100</v>
      </c>
      <c r="D388" s="442" t="s">
        <v>328</v>
      </c>
      <c r="E388" s="274">
        <v>20000</v>
      </c>
      <c r="F388" s="443">
        <v>48000</v>
      </c>
      <c r="G388" s="167">
        <f t="shared" si="31"/>
        <v>240</v>
      </c>
      <c r="H388" s="202">
        <f t="shared" si="32"/>
        <v>0.21621621621621623</v>
      </c>
      <c r="I388" s="6"/>
      <c r="J388" s="473"/>
      <c r="K388" s="473"/>
      <c r="L388" s="11"/>
      <c r="M388" s="11"/>
    </row>
    <row r="389" spans="1:13" ht="25.5" customHeight="1">
      <c r="A389" s="526"/>
      <c r="B389" s="527"/>
      <c r="C389" s="517" t="s">
        <v>90</v>
      </c>
      <c r="D389" s="518"/>
      <c r="E389" s="187">
        <f>E368+E373+E382+E385+E387</f>
        <v>726710</v>
      </c>
      <c r="F389" s="187">
        <f>F368+F373+F382+F385+F387</f>
        <v>806210</v>
      </c>
      <c r="G389" s="452">
        <f t="shared" si="31"/>
        <v>110.93971460417498</v>
      </c>
      <c r="H389" s="205">
        <f t="shared" si="32"/>
        <v>3.631576576576576</v>
      </c>
      <c r="I389" s="6"/>
      <c r="J389" s="473"/>
      <c r="K389" s="473"/>
      <c r="L389" s="11"/>
      <c r="M389" s="11"/>
    </row>
    <row r="390" spans="1:13" ht="48" customHeight="1">
      <c r="A390" s="275"/>
      <c r="B390" s="251"/>
      <c r="C390" s="538" t="s">
        <v>676</v>
      </c>
      <c r="D390" s="539"/>
      <c r="E390" s="381"/>
      <c r="F390" s="382"/>
      <c r="G390" s="383"/>
      <c r="H390" s="386"/>
      <c r="I390" s="6"/>
      <c r="J390" s="473"/>
      <c r="K390" s="473"/>
      <c r="L390" s="11"/>
      <c r="M390" s="11"/>
    </row>
    <row r="391" spans="1:13" ht="12.75">
      <c r="A391" s="275"/>
      <c r="B391" s="389" t="s">
        <v>361</v>
      </c>
      <c r="C391" s="410"/>
      <c r="D391" s="417" t="s">
        <v>329</v>
      </c>
      <c r="E391" s="387">
        <f>SUM(E392:E398)</f>
        <v>0</v>
      </c>
      <c r="F391" s="387">
        <f>SUM(F392:F398)</f>
        <v>3400100</v>
      </c>
      <c r="G391" s="387" t="e">
        <f aca="true" t="shared" si="33" ref="G391:G421">F391/E391*100</f>
        <v>#DIV/0!</v>
      </c>
      <c r="H391" s="388">
        <f aca="true" t="shared" si="34" ref="H391:H421">F391/$F$587*100</f>
        <v>15.315765765765764</v>
      </c>
      <c r="I391" s="418"/>
      <c r="J391" s="473"/>
      <c r="K391" s="473"/>
      <c r="L391" s="11"/>
      <c r="M391" s="11"/>
    </row>
    <row r="392" spans="1:13" ht="12.75">
      <c r="A392" s="275" t="s">
        <v>604</v>
      </c>
      <c r="B392" s="251"/>
      <c r="C392" s="419">
        <v>411100</v>
      </c>
      <c r="D392" s="420" t="s">
        <v>325</v>
      </c>
      <c r="E392" s="400">
        <v>0</v>
      </c>
      <c r="F392" s="400">
        <v>3264700</v>
      </c>
      <c r="G392" s="384" t="e">
        <f t="shared" si="33"/>
        <v>#DIV/0!</v>
      </c>
      <c r="H392" s="385">
        <f t="shared" si="34"/>
        <v>14.705855855855857</v>
      </c>
      <c r="I392" s="418"/>
      <c r="J392" s="473"/>
      <c r="K392" s="473"/>
      <c r="L392" s="11"/>
      <c r="M392" s="480"/>
    </row>
    <row r="393" spans="1:13" ht="12.75">
      <c r="A393" s="275" t="s">
        <v>604</v>
      </c>
      <c r="B393" s="251"/>
      <c r="C393" s="419">
        <v>411200</v>
      </c>
      <c r="D393" s="420" t="s">
        <v>552</v>
      </c>
      <c r="E393" s="400">
        <v>0</v>
      </c>
      <c r="F393" s="400">
        <v>52000</v>
      </c>
      <c r="G393" s="384" t="e">
        <f t="shared" si="33"/>
        <v>#DIV/0!</v>
      </c>
      <c r="H393" s="385">
        <f t="shared" si="34"/>
        <v>0.23423423423423423</v>
      </c>
      <c r="I393" s="418"/>
      <c r="J393" s="473"/>
      <c r="K393" s="473"/>
      <c r="L393" s="11"/>
      <c r="M393" s="480"/>
    </row>
    <row r="394" spans="1:13" ht="12.75">
      <c r="A394" s="275" t="s">
        <v>604</v>
      </c>
      <c r="B394" s="251"/>
      <c r="C394" s="419">
        <v>411200</v>
      </c>
      <c r="D394" s="420" t="s">
        <v>553</v>
      </c>
      <c r="E394" s="400">
        <v>0</v>
      </c>
      <c r="F394" s="400">
        <v>13500</v>
      </c>
      <c r="G394" s="384" t="e">
        <f t="shared" si="33"/>
        <v>#DIV/0!</v>
      </c>
      <c r="H394" s="385">
        <f t="shared" si="34"/>
        <v>0.06081081081081081</v>
      </c>
      <c r="I394" s="418"/>
      <c r="J394" s="473"/>
      <c r="K394" s="473"/>
      <c r="L394" s="11"/>
      <c r="M394" s="481"/>
    </row>
    <row r="395" spans="1:13" ht="12.75">
      <c r="A395" s="275" t="s">
        <v>604</v>
      </c>
      <c r="B395" s="251"/>
      <c r="C395" s="419">
        <v>411200</v>
      </c>
      <c r="D395" s="420" t="s">
        <v>342</v>
      </c>
      <c r="E395" s="400">
        <v>0</v>
      </c>
      <c r="F395" s="141">
        <v>400</v>
      </c>
      <c r="G395" s="384" t="e">
        <f t="shared" si="33"/>
        <v>#DIV/0!</v>
      </c>
      <c r="H395" s="385">
        <f t="shared" si="34"/>
        <v>0.0018018018018018018</v>
      </c>
      <c r="I395" s="418"/>
      <c r="J395" s="473"/>
      <c r="K395" s="473"/>
      <c r="L395" s="11"/>
      <c r="M395" s="480"/>
    </row>
    <row r="396" spans="1:13" ht="12.75" hidden="1">
      <c r="A396" s="275"/>
      <c r="B396" s="251"/>
      <c r="C396" s="419"/>
      <c r="D396" s="420"/>
      <c r="E396" s="400"/>
      <c r="F396" s="400"/>
      <c r="G396" s="384" t="e">
        <f t="shared" si="33"/>
        <v>#DIV/0!</v>
      </c>
      <c r="H396" s="385">
        <f t="shared" si="34"/>
        <v>0</v>
      </c>
      <c r="I396" s="418"/>
      <c r="J396" s="473"/>
      <c r="K396" s="473"/>
      <c r="L396" s="11"/>
      <c r="M396" s="480"/>
    </row>
    <row r="397" spans="1:13" ht="25.5">
      <c r="A397" s="275" t="s">
        <v>604</v>
      </c>
      <c r="B397" s="251"/>
      <c r="C397" s="419">
        <v>411300</v>
      </c>
      <c r="D397" s="421" t="s">
        <v>603</v>
      </c>
      <c r="E397" s="400">
        <v>0</v>
      </c>
      <c r="F397" s="400">
        <v>42400</v>
      </c>
      <c r="G397" s="384" t="e">
        <f t="shared" si="33"/>
        <v>#DIV/0!</v>
      </c>
      <c r="H397" s="385">
        <f t="shared" si="34"/>
        <v>0.190990990990991</v>
      </c>
      <c r="I397" s="418"/>
      <c r="J397" s="473"/>
      <c r="K397" s="473"/>
      <c r="L397" s="11"/>
      <c r="M397" s="480"/>
    </row>
    <row r="398" spans="1:13" ht="12.75">
      <c r="A398" s="275" t="s">
        <v>604</v>
      </c>
      <c r="B398" s="251"/>
      <c r="C398" s="419">
        <v>411400</v>
      </c>
      <c r="D398" s="420" t="s">
        <v>326</v>
      </c>
      <c r="E398" s="400">
        <v>0</v>
      </c>
      <c r="F398" s="400">
        <v>27100</v>
      </c>
      <c r="G398" s="384" t="e">
        <f t="shared" si="33"/>
        <v>#DIV/0!</v>
      </c>
      <c r="H398" s="385">
        <f t="shared" si="34"/>
        <v>0.12207207207207207</v>
      </c>
      <c r="I398" s="418"/>
      <c r="J398" s="473"/>
      <c r="K398" s="473"/>
      <c r="L398" s="11"/>
      <c r="M398" s="11"/>
    </row>
    <row r="399" spans="1:13" ht="12.75">
      <c r="A399" s="275"/>
      <c r="B399" s="389" t="s">
        <v>362</v>
      </c>
      <c r="C399" s="390"/>
      <c r="D399" s="422" t="s">
        <v>120</v>
      </c>
      <c r="E399" s="396">
        <f>SUM(E400:E425)</f>
        <v>0</v>
      </c>
      <c r="F399" s="396">
        <f>SUM(F400:F425)</f>
        <v>914500</v>
      </c>
      <c r="G399" s="387" t="e">
        <f t="shared" si="33"/>
        <v>#DIV/0!</v>
      </c>
      <c r="H399" s="388">
        <f t="shared" si="34"/>
        <v>4.11936936936937</v>
      </c>
      <c r="I399" s="418"/>
      <c r="J399" s="473"/>
      <c r="K399" s="473"/>
      <c r="L399" s="11"/>
      <c r="M399" s="11"/>
    </row>
    <row r="400" spans="1:13" ht="12.75">
      <c r="A400" s="275" t="s">
        <v>604</v>
      </c>
      <c r="B400" s="251"/>
      <c r="C400" s="419">
        <v>412100</v>
      </c>
      <c r="D400" s="420" t="s">
        <v>554</v>
      </c>
      <c r="E400" s="400">
        <v>0</v>
      </c>
      <c r="F400" s="400">
        <v>1960</v>
      </c>
      <c r="G400" s="384" t="e">
        <f t="shared" si="33"/>
        <v>#DIV/0!</v>
      </c>
      <c r="H400" s="385">
        <f t="shared" si="34"/>
        <v>0.008828828828828829</v>
      </c>
      <c r="I400" s="418"/>
      <c r="J400" s="473"/>
      <c r="K400" s="473"/>
      <c r="L400" s="11"/>
      <c r="M400" s="11"/>
    </row>
    <row r="401" spans="1:13" ht="12.75">
      <c r="A401" s="275" t="s">
        <v>604</v>
      </c>
      <c r="B401" s="251"/>
      <c r="C401" s="419">
        <v>412200</v>
      </c>
      <c r="D401" s="420" t="s">
        <v>555</v>
      </c>
      <c r="E401" s="400">
        <v>0</v>
      </c>
      <c r="F401" s="400">
        <v>194000</v>
      </c>
      <c r="G401" s="384" t="e">
        <f t="shared" si="33"/>
        <v>#DIV/0!</v>
      </c>
      <c r="H401" s="385">
        <f t="shared" si="34"/>
        <v>0.8738738738738738</v>
      </c>
      <c r="I401" s="418"/>
      <c r="J401" s="473"/>
      <c r="K401" s="473"/>
      <c r="L401" s="11"/>
      <c r="M401" s="11"/>
    </row>
    <row r="402" spans="1:13" ht="12.75">
      <c r="A402" s="275" t="s">
        <v>604</v>
      </c>
      <c r="B402" s="251"/>
      <c r="C402" s="419">
        <v>412200</v>
      </c>
      <c r="D402" s="420" t="s">
        <v>556</v>
      </c>
      <c r="E402" s="400">
        <v>0</v>
      </c>
      <c r="F402" s="400">
        <v>22000</v>
      </c>
      <c r="G402" s="384" t="e">
        <f t="shared" si="33"/>
        <v>#DIV/0!</v>
      </c>
      <c r="H402" s="385">
        <f t="shared" si="34"/>
        <v>0.0990990990990991</v>
      </c>
      <c r="I402" s="418"/>
      <c r="J402" s="473"/>
      <c r="K402" s="473"/>
      <c r="L402" s="11"/>
      <c r="M402" s="11"/>
    </row>
    <row r="403" spans="1:13" ht="12.75">
      <c r="A403" s="275" t="s">
        <v>604</v>
      </c>
      <c r="B403" s="251"/>
      <c r="C403" s="419">
        <v>412200</v>
      </c>
      <c r="D403" s="420" t="s">
        <v>557</v>
      </c>
      <c r="E403" s="400">
        <v>0</v>
      </c>
      <c r="F403" s="400">
        <v>66790</v>
      </c>
      <c r="G403" s="384" t="e">
        <f t="shared" si="33"/>
        <v>#DIV/0!</v>
      </c>
      <c r="H403" s="385">
        <f t="shared" si="34"/>
        <v>0.30085585585585584</v>
      </c>
      <c r="I403" s="418"/>
      <c r="J403" s="516"/>
      <c r="K403" s="473"/>
      <c r="L403" s="11"/>
      <c r="M403" s="11"/>
    </row>
    <row r="404" spans="1:13" ht="12.75">
      <c r="A404" s="275" t="s">
        <v>604</v>
      </c>
      <c r="B404" s="251"/>
      <c r="C404" s="419">
        <v>412200</v>
      </c>
      <c r="D404" s="420" t="s">
        <v>616</v>
      </c>
      <c r="E404" s="400">
        <v>0</v>
      </c>
      <c r="F404" s="400">
        <v>110000</v>
      </c>
      <c r="G404" s="384" t="e">
        <f t="shared" si="33"/>
        <v>#DIV/0!</v>
      </c>
      <c r="H404" s="385">
        <f t="shared" si="34"/>
        <v>0.4954954954954955</v>
      </c>
      <c r="I404" s="418"/>
      <c r="J404" s="516"/>
      <c r="K404" s="473"/>
      <c r="L404" s="11"/>
      <c r="M404" s="11"/>
    </row>
    <row r="405" spans="1:13" ht="12.75">
      <c r="A405" s="275" t="s">
        <v>604</v>
      </c>
      <c r="B405" s="251"/>
      <c r="C405" s="419">
        <v>412300</v>
      </c>
      <c r="D405" s="420" t="s">
        <v>558</v>
      </c>
      <c r="E405" s="400">
        <v>0</v>
      </c>
      <c r="F405" s="400">
        <v>17500</v>
      </c>
      <c r="G405" s="384" t="e">
        <f t="shared" si="33"/>
        <v>#DIV/0!</v>
      </c>
      <c r="H405" s="385">
        <f t="shared" si="34"/>
        <v>0.07882882882882883</v>
      </c>
      <c r="I405" s="418"/>
      <c r="J405" s="473"/>
      <c r="K405" s="473"/>
      <c r="L405" s="11"/>
      <c r="M405" s="11"/>
    </row>
    <row r="406" spans="1:13" ht="12.75">
      <c r="A406" s="275" t="s">
        <v>604</v>
      </c>
      <c r="B406" s="251"/>
      <c r="C406" s="419">
        <v>412300</v>
      </c>
      <c r="D406" s="420" t="s">
        <v>559</v>
      </c>
      <c r="E406" s="400">
        <v>0</v>
      </c>
      <c r="F406" s="400">
        <v>10000</v>
      </c>
      <c r="G406" s="384" t="e">
        <f t="shared" si="33"/>
        <v>#DIV/0!</v>
      </c>
      <c r="H406" s="385">
        <f t="shared" si="34"/>
        <v>0.04504504504504504</v>
      </c>
      <c r="I406" s="418"/>
      <c r="J406" s="473"/>
      <c r="K406" s="473"/>
      <c r="L406" s="11"/>
      <c r="M406" s="11"/>
    </row>
    <row r="407" spans="1:13" ht="12.75">
      <c r="A407" s="275" t="s">
        <v>604</v>
      </c>
      <c r="B407" s="251"/>
      <c r="C407" s="419">
        <v>412300</v>
      </c>
      <c r="D407" s="420" t="s">
        <v>560</v>
      </c>
      <c r="E407" s="400">
        <v>0</v>
      </c>
      <c r="F407" s="400">
        <v>800</v>
      </c>
      <c r="G407" s="384" t="e">
        <f t="shared" si="33"/>
        <v>#DIV/0!</v>
      </c>
      <c r="H407" s="385">
        <f t="shared" si="34"/>
        <v>0.0036036036036036037</v>
      </c>
      <c r="I407" s="418"/>
      <c r="J407" s="473"/>
      <c r="K407" s="473"/>
      <c r="L407" s="11"/>
      <c r="M407" s="11"/>
    </row>
    <row r="408" spans="1:13" ht="12.75">
      <c r="A408" s="275" t="s">
        <v>604</v>
      </c>
      <c r="B408" s="251"/>
      <c r="C408" s="419">
        <v>412300</v>
      </c>
      <c r="D408" s="420" t="s">
        <v>561</v>
      </c>
      <c r="E408" s="400">
        <v>0</v>
      </c>
      <c r="F408" s="400">
        <v>1000</v>
      </c>
      <c r="G408" s="384" t="e">
        <f t="shared" si="33"/>
        <v>#DIV/0!</v>
      </c>
      <c r="H408" s="385">
        <f t="shared" si="34"/>
        <v>0.0045045045045045045</v>
      </c>
      <c r="I408" s="418"/>
      <c r="J408" s="473"/>
      <c r="K408" s="473"/>
      <c r="L408" s="11"/>
      <c r="M408" s="11"/>
    </row>
    <row r="409" spans="1:13" ht="12.75">
      <c r="A409" s="275" t="s">
        <v>604</v>
      </c>
      <c r="B409" s="251"/>
      <c r="C409" s="419">
        <v>412400</v>
      </c>
      <c r="D409" s="420" t="s">
        <v>617</v>
      </c>
      <c r="E409" s="400">
        <v>0</v>
      </c>
      <c r="F409" s="400">
        <v>212000</v>
      </c>
      <c r="G409" s="384" t="e">
        <f t="shared" si="33"/>
        <v>#DIV/0!</v>
      </c>
      <c r="H409" s="385">
        <f t="shared" si="34"/>
        <v>0.954954954954955</v>
      </c>
      <c r="I409" s="418"/>
      <c r="J409" s="473"/>
      <c r="K409" s="473"/>
      <c r="L409" s="11"/>
      <c r="M409" s="11"/>
    </row>
    <row r="410" spans="1:13" ht="12.75">
      <c r="A410" s="275" t="s">
        <v>604</v>
      </c>
      <c r="B410" s="251"/>
      <c r="C410" s="419">
        <v>412500</v>
      </c>
      <c r="D410" s="420" t="s">
        <v>562</v>
      </c>
      <c r="E410" s="400">
        <v>0</v>
      </c>
      <c r="F410" s="400">
        <v>1550</v>
      </c>
      <c r="G410" s="384" t="e">
        <f t="shared" si="33"/>
        <v>#DIV/0!</v>
      </c>
      <c r="H410" s="385">
        <f t="shared" si="34"/>
        <v>0.006981981981981982</v>
      </c>
      <c r="I410" s="418"/>
      <c r="J410" s="473"/>
      <c r="K410" s="473"/>
      <c r="L410" s="11"/>
      <c r="M410" s="11"/>
    </row>
    <row r="411" spans="1:13" ht="12.75">
      <c r="A411" s="275" t="s">
        <v>604</v>
      </c>
      <c r="B411" s="251"/>
      <c r="C411" s="419">
        <v>412500</v>
      </c>
      <c r="D411" s="420" t="s">
        <v>563</v>
      </c>
      <c r="E411" s="400">
        <v>0</v>
      </c>
      <c r="F411" s="400">
        <v>40000</v>
      </c>
      <c r="G411" s="384" t="e">
        <f t="shared" si="33"/>
        <v>#DIV/0!</v>
      </c>
      <c r="H411" s="385">
        <f t="shared" si="34"/>
        <v>0.18018018018018017</v>
      </c>
      <c r="I411" s="418"/>
      <c r="J411" s="473"/>
      <c r="K411" s="473"/>
      <c r="L411" s="11"/>
      <c r="M411" s="11"/>
    </row>
    <row r="412" spans="1:13" ht="12.75" hidden="1">
      <c r="A412" s="275" t="s">
        <v>604</v>
      </c>
      <c r="B412" s="251"/>
      <c r="C412" s="419">
        <v>412600</v>
      </c>
      <c r="D412" s="420" t="s">
        <v>564</v>
      </c>
      <c r="E412" s="400"/>
      <c r="F412" s="400">
        <v>0</v>
      </c>
      <c r="G412" s="384" t="e">
        <f t="shared" si="33"/>
        <v>#DIV/0!</v>
      </c>
      <c r="H412" s="385">
        <f t="shared" si="34"/>
        <v>0</v>
      </c>
      <c r="I412" s="418"/>
      <c r="J412" s="473"/>
      <c r="K412" s="473"/>
      <c r="L412" s="11"/>
      <c r="M412" s="11"/>
    </row>
    <row r="413" spans="1:13" ht="12.75" hidden="1">
      <c r="A413" s="275" t="s">
        <v>604</v>
      </c>
      <c r="B413" s="251"/>
      <c r="C413" s="419">
        <v>412600</v>
      </c>
      <c r="D413" s="420" t="s">
        <v>565</v>
      </c>
      <c r="E413" s="400"/>
      <c r="F413" s="400">
        <v>0</v>
      </c>
      <c r="G413" s="384" t="e">
        <f t="shared" si="33"/>
        <v>#DIV/0!</v>
      </c>
      <c r="H413" s="385">
        <f t="shared" si="34"/>
        <v>0</v>
      </c>
      <c r="I413" s="418"/>
      <c r="J413" s="473"/>
      <c r="K413" s="473"/>
      <c r="L413" s="11"/>
      <c r="M413" s="11"/>
    </row>
    <row r="414" spans="1:13" ht="12.75">
      <c r="A414" s="275" t="s">
        <v>604</v>
      </c>
      <c r="B414" s="251"/>
      <c r="C414" s="419">
        <v>412700</v>
      </c>
      <c r="D414" s="420" t="s">
        <v>566</v>
      </c>
      <c r="E414" s="400">
        <v>0</v>
      </c>
      <c r="F414" s="400">
        <v>5600</v>
      </c>
      <c r="G414" s="384" t="e">
        <f t="shared" si="33"/>
        <v>#DIV/0!</v>
      </c>
      <c r="H414" s="385">
        <f t="shared" si="34"/>
        <v>0.025225225225225224</v>
      </c>
      <c r="I414" s="418"/>
      <c r="J414" s="473"/>
      <c r="K414" s="473"/>
      <c r="L414" s="11"/>
      <c r="M414" s="11"/>
    </row>
    <row r="415" spans="1:13" ht="12.75">
      <c r="A415" s="275" t="s">
        <v>604</v>
      </c>
      <c r="B415" s="251"/>
      <c r="C415" s="419">
        <v>412700</v>
      </c>
      <c r="D415" s="420" t="s">
        <v>567</v>
      </c>
      <c r="E415" s="400">
        <v>0</v>
      </c>
      <c r="F415" s="400">
        <v>1500</v>
      </c>
      <c r="G415" s="384" t="e">
        <f t="shared" si="33"/>
        <v>#DIV/0!</v>
      </c>
      <c r="H415" s="385">
        <f t="shared" si="34"/>
        <v>0.006756756756756757</v>
      </c>
      <c r="I415" s="418"/>
      <c r="J415" s="473"/>
      <c r="K415" s="473"/>
      <c r="L415" s="11"/>
      <c r="M415" s="11"/>
    </row>
    <row r="416" spans="1:13" ht="12.75">
      <c r="A416" s="275" t="s">
        <v>604</v>
      </c>
      <c r="B416" s="251"/>
      <c r="C416" s="419">
        <v>412700</v>
      </c>
      <c r="D416" s="420" t="s">
        <v>568</v>
      </c>
      <c r="E416" s="400">
        <v>0</v>
      </c>
      <c r="F416" s="400">
        <v>8000</v>
      </c>
      <c r="G416" s="384" t="e">
        <f t="shared" si="33"/>
        <v>#DIV/0!</v>
      </c>
      <c r="H416" s="385">
        <f t="shared" si="34"/>
        <v>0.036036036036036036</v>
      </c>
      <c r="I416" s="418"/>
      <c r="J416" s="473"/>
      <c r="K416" s="473"/>
      <c r="L416" s="11"/>
      <c r="M416" s="11"/>
    </row>
    <row r="417" spans="1:13" ht="12.75">
      <c r="A417" s="275" t="s">
        <v>604</v>
      </c>
      <c r="B417" s="251"/>
      <c r="C417" s="419">
        <v>412700</v>
      </c>
      <c r="D417" s="420" t="s">
        <v>618</v>
      </c>
      <c r="E417" s="400">
        <v>0</v>
      </c>
      <c r="F417" s="400">
        <v>7200</v>
      </c>
      <c r="G417" s="384" t="e">
        <f t="shared" si="33"/>
        <v>#DIV/0!</v>
      </c>
      <c r="H417" s="385">
        <f t="shared" si="34"/>
        <v>0.032432432432432434</v>
      </c>
      <c r="I417" s="418"/>
      <c r="J417" s="473"/>
      <c r="K417" s="516"/>
      <c r="L417" s="11"/>
      <c r="M417" s="11"/>
    </row>
    <row r="418" spans="1:13" ht="12.75">
      <c r="A418" s="275" t="s">
        <v>604</v>
      </c>
      <c r="B418" s="251"/>
      <c r="C418" s="419">
        <v>412700</v>
      </c>
      <c r="D418" s="420" t="s">
        <v>619</v>
      </c>
      <c r="E418" s="400">
        <v>0</v>
      </c>
      <c r="F418" s="400">
        <v>80000</v>
      </c>
      <c r="G418" s="384" t="e">
        <f t="shared" si="33"/>
        <v>#DIV/0!</v>
      </c>
      <c r="H418" s="385">
        <f t="shared" si="34"/>
        <v>0.36036036036036034</v>
      </c>
      <c r="I418" s="418"/>
      <c r="J418" s="473"/>
      <c r="K418" s="516"/>
      <c r="L418" s="11"/>
      <c r="M418" s="11"/>
    </row>
    <row r="419" spans="1:13" ht="12.75">
      <c r="A419" s="275" t="s">
        <v>604</v>
      </c>
      <c r="B419" s="251"/>
      <c r="C419" s="419">
        <v>412900</v>
      </c>
      <c r="D419" s="420" t="s">
        <v>145</v>
      </c>
      <c r="E419" s="400">
        <v>0</v>
      </c>
      <c r="F419" s="400">
        <v>6000</v>
      </c>
      <c r="G419" s="384" t="e">
        <f t="shared" si="33"/>
        <v>#DIV/0!</v>
      </c>
      <c r="H419" s="385">
        <f t="shared" si="34"/>
        <v>0.02702702702702703</v>
      </c>
      <c r="I419" s="418"/>
      <c r="J419" s="516"/>
      <c r="K419" s="473"/>
      <c r="L419" s="11"/>
      <c r="M419" s="11"/>
    </row>
    <row r="420" spans="1:13" ht="12.75">
      <c r="A420" s="275" t="s">
        <v>604</v>
      </c>
      <c r="B420" s="251"/>
      <c r="C420" s="419">
        <v>412900</v>
      </c>
      <c r="D420" s="420" t="s">
        <v>569</v>
      </c>
      <c r="E420" s="400">
        <v>0</v>
      </c>
      <c r="F420" s="400">
        <v>113000</v>
      </c>
      <c r="G420" s="384" t="e">
        <f t="shared" si="33"/>
        <v>#DIV/0!</v>
      </c>
      <c r="H420" s="385">
        <f t="shared" si="34"/>
        <v>0.509009009009009</v>
      </c>
      <c r="I420" s="418"/>
      <c r="J420" s="516"/>
      <c r="K420" s="473"/>
      <c r="L420" s="11"/>
      <c r="M420" s="11"/>
    </row>
    <row r="421" spans="1:13" ht="14.25" customHeight="1">
      <c r="A421" s="275" t="s">
        <v>604</v>
      </c>
      <c r="B421" s="251"/>
      <c r="C421" s="419">
        <v>412900</v>
      </c>
      <c r="D421" s="420" t="s">
        <v>570</v>
      </c>
      <c r="E421" s="400">
        <v>0</v>
      </c>
      <c r="F421" s="400">
        <v>6000</v>
      </c>
      <c r="G421" s="384" t="e">
        <f t="shared" si="33"/>
        <v>#DIV/0!</v>
      </c>
      <c r="H421" s="385">
        <f t="shared" si="34"/>
        <v>0.02702702702702703</v>
      </c>
      <c r="I421" s="418"/>
      <c r="J421" s="473"/>
      <c r="K421" s="473"/>
      <c r="L421" s="11"/>
      <c r="M421" s="11"/>
    </row>
    <row r="422" spans="1:13" ht="12.75" hidden="1">
      <c r="A422" s="275" t="s">
        <v>604</v>
      </c>
      <c r="B422" s="251"/>
      <c r="C422" s="419">
        <v>412900</v>
      </c>
      <c r="D422" s="420" t="s">
        <v>571</v>
      </c>
      <c r="E422" s="400"/>
      <c r="F422" s="400">
        <v>0</v>
      </c>
      <c r="G422" s="384" t="e">
        <f>F422/E422*100</f>
        <v>#DIV/0!</v>
      </c>
      <c r="H422" s="385">
        <f>F422/$F$587*100</f>
        <v>0</v>
      </c>
      <c r="I422" s="418"/>
      <c r="J422" s="473"/>
      <c r="K422" s="11"/>
      <c r="L422" s="11"/>
      <c r="M422" s="11"/>
    </row>
    <row r="423" spans="1:13" ht="27.75" customHeight="1">
      <c r="A423" s="275" t="s">
        <v>604</v>
      </c>
      <c r="B423" s="251"/>
      <c r="C423" s="419">
        <v>412900</v>
      </c>
      <c r="D423" s="421" t="s">
        <v>572</v>
      </c>
      <c r="E423" s="400">
        <v>0</v>
      </c>
      <c r="F423" s="400">
        <v>9600</v>
      </c>
      <c r="G423" s="384" t="e">
        <f>F423/E423*100</f>
        <v>#DIV/0!</v>
      </c>
      <c r="H423" s="385">
        <f>F423/$F$587*100</f>
        <v>0.043243243243243246</v>
      </c>
      <c r="I423" s="418"/>
      <c r="J423" s="473"/>
      <c r="K423" s="11"/>
      <c r="L423" s="11"/>
      <c r="M423" s="11"/>
    </row>
    <row r="424" spans="1:13" ht="12.75" hidden="1">
      <c r="A424" s="275" t="s">
        <v>604</v>
      </c>
      <c r="B424" s="251"/>
      <c r="C424" s="419">
        <v>412900</v>
      </c>
      <c r="D424" s="421" t="s">
        <v>573</v>
      </c>
      <c r="E424" s="400"/>
      <c r="F424" s="400">
        <v>0</v>
      </c>
      <c r="G424" s="384" t="e">
        <f>F424/E424*100</f>
        <v>#DIV/0!</v>
      </c>
      <c r="H424" s="385">
        <f>F424/$F$587*100</f>
        <v>0</v>
      </c>
      <c r="I424" s="418"/>
      <c r="J424" s="473"/>
      <c r="K424" s="11"/>
      <c r="L424" s="11"/>
      <c r="M424" s="11"/>
    </row>
    <row r="425" spans="1:13" ht="12.75" hidden="1">
      <c r="A425" s="275" t="s">
        <v>604</v>
      </c>
      <c r="B425" s="251"/>
      <c r="C425" s="419">
        <v>412900</v>
      </c>
      <c r="D425" s="420" t="s">
        <v>574</v>
      </c>
      <c r="E425" s="400"/>
      <c r="F425" s="400">
        <v>0</v>
      </c>
      <c r="G425" s="384" t="e">
        <f>F425/E425*100</f>
        <v>#DIV/0!</v>
      </c>
      <c r="H425" s="385">
        <f>F425/$F$587*100</f>
        <v>0</v>
      </c>
      <c r="I425" s="418"/>
      <c r="J425" s="473"/>
      <c r="K425" s="11"/>
      <c r="L425" s="11"/>
      <c r="M425" s="11"/>
    </row>
    <row r="426" spans="1:13" ht="14.25" customHeight="1" hidden="1">
      <c r="A426" s="275"/>
      <c r="B426" s="251" t="s">
        <v>575</v>
      </c>
      <c r="C426" s="186"/>
      <c r="D426" s="417" t="s">
        <v>130</v>
      </c>
      <c r="E426" s="393">
        <f>SUM(E427)</f>
        <v>0</v>
      </c>
      <c r="F426" s="393">
        <f>SUM(F427)</f>
        <v>0</v>
      </c>
      <c r="G426" s="387" t="e">
        <f aca="true" t="shared" si="35" ref="G426:G456">F426/E426*100</f>
        <v>#DIV/0!</v>
      </c>
      <c r="H426" s="388">
        <f aca="true" t="shared" si="36" ref="H426:H456">F426/$F$587*100</f>
        <v>0</v>
      </c>
      <c r="I426" s="418"/>
      <c r="J426" s="473"/>
      <c r="K426" s="11"/>
      <c r="L426" s="11"/>
      <c r="M426" s="11"/>
    </row>
    <row r="427" spans="1:13" ht="25.5" hidden="1">
      <c r="A427" s="275" t="s">
        <v>604</v>
      </c>
      <c r="B427" s="251"/>
      <c r="C427" s="186">
        <v>413300</v>
      </c>
      <c r="D427" s="186" t="s">
        <v>582</v>
      </c>
      <c r="E427" s="400"/>
      <c r="F427" s="400">
        <v>0</v>
      </c>
      <c r="G427" s="384" t="e">
        <f t="shared" si="35"/>
        <v>#DIV/0!</v>
      </c>
      <c r="H427" s="385">
        <f t="shared" si="36"/>
        <v>0</v>
      </c>
      <c r="I427" s="418"/>
      <c r="J427" s="473"/>
      <c r="K427" s="11"/>
      <c r="L427" s="11"/>
      <c r="M427" s="11"/>
    </row>
    <row r="428" spans="1:13" ht="25.5">
      <c r="A428" s="275"/>
      <c r="B428" s="272" t="s">
        <v>576</v>
      </c>
      <c r="C428" s="186"/>
      <c r="D428" s="299" t="s">
        <v>577</v>
      </c>
      <c r="E428" s="393">
        <f>SUM(E429:E430)</f>
        <v>0</v>
      </c>
      <c r="F428" s="393">
        <f>SUM(F429:F430)</f>
        <v>11600</v>
      </c>
      <c r="G428" s="387" t="e">
        <f t="shared" si="35"/>
        <v>#DIV/0!</v>
      </c>
      <c r="H428" s="388">
        <f t="shared" si="36"/>
        <v>0.05225225225225225</v>
      </c>
      <c r="I428" s="418"/>
      <c r="J428" s="473"/>
      <c r="L428" s="11"/>
      <c r="M428" s="11"/>
    </row>
    <row r="429" spans="1:13" ht="12.75">
      <c r="A429" s="275" t="s">
        <v>604</v>
      </c>
      <c r="B429" s="251"/>
      <c r="C429" s="186">
        <v>418100</v>
      </c>
      <c r="D429" s="421" t="s">
        <v>583</v>
      </c>
      <c r="E429" s="400">
        <v>0</v>
      </c>
      <c r="F429" s="400">
        <v>5600</v>
      </c>
      <c r="G429" s="384" t="e">
        <f t="shared" si="35"/>
        <v>#DIV/0!</v>
      </c>
      <c r="H429" s="385">
        <f t="shared" si="36"/>
        <v>0.025225225225225224</v>
      </c>
      <c r="I429" s="418"/>
      <c r="J429" s="473"/>
      <c r="L429" s="11"/>
      <c r="M429" s="11"/>
    </row>
    <row r="430" spans="1:13" ht="14.25" customHeight="1">
      <c r="A430" s="275" t="s">
        <v>604</v>
      </c>
      <c r="B430" s="251"/>
      <c r="C430" s="186">
        <v>418200</v>
      </c>
      <c r="D430" s="421" t="s">
        <v>620</v>
      </c>
      <c r="E430" s="400">
        <v>0</v>
      </c>
      <c r="F430" s="400">
        <v>6000</v>
      </c>
      <c r="G430" s="384" t="e">
        <f t="shared" si="35"/>
        <v>#DIV/0!</v>
      </c>
      <c r="H430" s="385">
        <f t="shared" si="36"/>
        <v>0.02702702702702703</v>
      </c>
      <c r="I430" s="418"/>
      <c r="J430" s="473"/>
      <c r="L430" s="11"/>
      <c r="M430" s="11"/>
    </row>
    <row r="431" spans="1:13" ht="12.75" customHeight="1" hidden="1">
      <c r="A431" s="275"/>
      <c r="B431" s="251" t="s">
        <v>371</v>
      </c>
      <c r="C431" s="186"/>
      <c r="D431" s="299" t="s">
        <v>313</v>
      </c>
      <c r="E431" s="393">
        <f>SUM(E432)</f>
        <v>0</v>
      </c>
      <c r="F431" s="393">
        <f>SUM(F432)</f>
        <v>0</v>
      </c>
      <c r="G431" s="387" t="e">
        <f t="shared" si="35"/>
        <v>#DIV/0!</v>
      </c>
      <c r="H431" s="388">
        <f t="shared" si="36"/>
        <v>0</v>
      </c>
      <c r="I431" s="418"/>
      <c r="J431" s="473"/>
      <c r="L431" s="482"/>
      <c r="M431" s="11"/>
    </row>
    <row r="432" spans="1:13" ht="14.25" hidden="1">
      <c r="A432" s="275" t="s">
        <v>604</v>
      </c>
      <c r="B432" s="251"/>
      <c r="C432" s="186">
        <v>419100</v>
      </c>
      <c r="D432" s="421" t="s">
        <v>313</v>
      </c>
      <c r="E432" s="400"/>
      <c r="F432" s="400">
        <v>0</v>
      </c>
      <c r="G432" s="384" t="e">
        <f t="shared" si="35"/>
        <v>#DIV/0!</v>
      </c>
      <c r="H432" s="385">
        <f t="shared" si="36"/>
        <v>0</v>
      </c>
      <c r="I432" s="418"/>
      <c r="J432" s="473"/>
      <c r="L432" s="482"/>
      <c r="M432" s="11"/>
    </row>
    <row r="433" spans="1:13" ht="12.75" customHeight="1">
      <c r="A433" s="275"/>
      <c r="B433" s="389" t="s">
        <v>584</v>
      </c>
      <c r="C433" s="186"/>
      <c r="D433" s="423" t="s">
        <v>578</v>
      </c>
      <c r="E433" s="393">
        <f>SUM(E434:E439)</f>
        <v>0</v>
      </c>
      <c r="F433" s="393">
        <f>SUM(F434:F439)</f>
        <v>70000</v>
      </c>
      <c r="G433" s="387" t="e">
        <f t="shared" si="35"/>
        <v>#DIV/0!</v>
      </c>
      <c r="H433" s="388">
        <f t="shared" si="36"/>
        <v>0.3153153153153153</v>
      </c>
      <c r="I433" s="418"/>
      <c r="J433" s="473"/>
      <c r="L433" s="11"/>
      <c r="M433" s="11"/>
    </row>
    <row r="434" spans="1:13" ht="25.5" hidden="1">
      <c r="A434" s="275" t="s">
        <v>604</v>
      </c>
      <c r="B434" s="251"/>
      <c r="C434" s="186">
        <v>511200</v>
      </c>
      <c r="D434" s="421" t="s">
        <v>140</v>
      </c>
      <c r="E434" s="400"/>
      <c r="F434" s="400">
        <v>0</v>
      </c>
      <c r="G434" s="384" t="e">
        <f t="shared" si="35"/>
        <v>#DIV/0!</v>
      </c>
      <c r="H434" s="385">
        <f t="shared" si="36"/>
        <v>0</v>
      </c>
      <c r="I434" s="418"/>
      <c r="J434" s="473"/>
      <c r="L434" s="11"/>
      <c r="M434" s="11"/>
    </row>
    <row r="435" spans="1:13" ht="12.75" hidden="1">
      <c r="A435" s="275" t="s">
        <v>604</v>
      </c>
      <c r="B435" s="251"/>
      <c r="C435" s="186">
        <v>511300</v>
      </c>
      <c r="D435" s="421" t="s">
        <v>585</v>
      </c>
      <c r="E435" s="400"/>
      <c r="F435" s="400">
        <v>0</v>
      </c>
      <c r="G435" s="384" t="e">
        <f t="shared" si="35"/>
        <v>#DIV/0!</v>
      </c>
      <c r="H435" s="385">
        <f t="shared" si="36"/>
        <v>0</v>
      </c>
      <c r="I435" s="418"/>
      <c r="J435" s="473"/>
      <c r="L435" s="11"/>
      <c r="M435" s="11"/>
    </row>
    <row r="436" spans="1:13" ht="12.75" hidden="1">
      <c r="A436" s="275" t="s">
        <v>604</v>
      </c>
      <c r="B436" s="251"/>
      <c r="C436" s="186">
        <v>511300</v>
      </c>
      <c r="D436" s="421" t="s">
        <v>586</v>
      </c>
      <c r="E436" s="400"/>
      <c r="F436" s="400">
        <v>0</v>
      </c>
      <c r="G436" s="384" t="e">
        <f t="shared" si="35"/>
        <v>#DIV/0!</v>
      </c>
      <c r="H436" s="385">
        <f t="shared" si="36"/>
        <v>0</v>
      </c>
      <c r="I436" s="418"/>
      <c r="J436" s="473"/>
      <c r="L436" s="11"/>
      <c r="M436" s="11"/>
    </row>
    <row r="437" spans="1:13" ht="12.75" hidden="1">
      <c r="A437" s="275" t="s">
        <v>604</v>
      </c>
      <c r="B437" s="251"/>
      <c r="C437" s="186">
        <v>511300</v>
      </c>
      <c r="D437" s="421" t="s">
        <v>587</v>
      </c>
      <c r="E437" s="400"/>
      <c r="F437" s="400">
        <v>0</v>
      </c>
      <c r="G437" s="384" t="e">
        <f t="shared" si="35"/>
        <v>#DIV/0!</v>
      </c>
      <c r="H437" s="385">
        <f t="shared" si="36"/>
        <v>0</v>
      </c>
      <c r="I437" s="418"/>
      <c r="J437" s="473"/>
      <c r="L437" s="12"/>
      <c r="M437" s="11"/>
    </row>
    <row r="438" spans="1:13" ht="12.75" customHeight="1">
      <c r="A438" s="275" t="s">
        <v>604</v>
      </c>
      <c r="B438" s="251"/>
      <c r="C438" s="186">
        <v>511300</v>
      </c>
      <c r="D438" s="421" t="s">
        <v>588</v>
      </c>
      <c r="E438" s="400">
        <v>0</v>
      </c>
      <c r="F438" s="400">
        <v>70000</v>
      </c>
      <c r="G438" s="384" t="e">
        <f t="shared" si="35"/>
        <v>#DIV/0!</v>
      </c>
      <c r="H438" s="385">
        <f t="shared" si="36"/>
        <v>0.3153153153153153</v>
      </c>
      <c r="I438" s="418"/>
      <c r="J438" s="473"/>
      <c r="L438" s="11"/>
      <c r="M438" s="11"/>
    </row>
    <row r="439" spans="1:13" ht="12.75" hidden="1">
      <c r="A439" s="275" t="s">
        <v>604</v>
      </c>
      <c r="B439" s="251"/>
      <c r="C439" s="186">
        <v>511700</v>
      </c>
      <c r="D439" s="421" t="s">
        <v>589</v>
      </c>
      <c r="E439" s="400"/>
      <c r="F439" s="400">
        <v>0</v>
      </c>
      <c r="G439" s="384" t="e">
        <f t="shared" si="35"/>
        <v>#DIV/0!</v>
      </c>
      <c r="H439" s="385">
        <f t="shared" si="36"/>
        <v>0</v>
      </c>
      <c r="I439" s="418"/>
      <c r="J439" s="473"/>
      <c r="L439" s="11"/>
      <c r="M439" s="11"/>
    </row>
    <row r="440" spans="1:13" ht="7.5" customHeight="1" hidden="1">
      <c r="A440" s="275"/>
      <c r="B440" s="389" t="s">
        <v>372</v>
      </c>
      <c r="C440" s="186"/>
      <c r="D440" s="423" t="s">
        <v>165</v>
      </c>
      <c r="E440" s="393">
        <f>SUM(E441)</f>
        <v>0</v>
      </c>
      <c r="F440" s="393">
        <f>SUM(F441)</f>
        <v>0</v>
      </c>
      <c r="G440" s="387" t="e">
        <f t="shared" si="35"/>
        <v>#DIV/0!</v>
      </c>
      <c r="H440" s="388">
        <f t="shared" si="36"/>
        <v>0</v>
      </c>
      <c r="I440" s="418"/>
      <c r="J440" s="473"/>
      <c r="L440" s="11"/>
      <c r="M440" s="11"/>
    </row>
    <row r="441" spans="1:13" ht="12.75" hidden="1">
      <c r="A441" s="275" t="s">
        <v>604</v>
      </c>
      <c r="B441" s="251"/>
      <c r="C441" s="186">
        <v>513700</v>
      </c>
      <c r="D441" s="421" t="s">
        <v>590</v>
      </c>
      <c r="E441" s="400"/>
      <c r="F441" s="400">
        <v>0</v>
      </c>
      <c r="G441" s="384" t="e">
        <f t="shared" si="35"/>
        <v>#DIV/0!</v>
      </c>
      <c r="H441" s="385">
        <f t="shared" si="36"/>
        <v>0</v>
      </c>
      <c r="I441" s="418"/>
      <c r="J441" s="473"/>
      <c r="L441" s="11"/>
      <c r="M441" s="11"/>
    </row>
    <row r="442" spans="1:13" ht="25.5" hidden="1">
      <c r="A442" s="275"/>
      <c r="B442" s="389" t="s">
        <v>591</v>
      </c>
      <c r="C442" s="423"/>
      <c r="D442" s="423" t="s">
        <v>579</v>
      </c>
      <c r="E442" s="393">
        <f>SUM(E443:E444)</f>
        <v>0</v>
      </c>
      <c r="F442" s="393">
        <f>SUM(F443:F444)</f>
        <v>0</v>
      </c>
      <c r="G442" s="387" t="e">
        <f t="shared" si="35"/>
        <v>#DIV/0!</v>
      </c>
      <c r="H442" s="388">
        <f t="shared" si="36"/>
        <v>0</v>
      </c>
      <c r="I442" s="418"/>
      <c r="J442" s="473"/>
      <c r="L442" s="11"/>
      <c r="M442" s="11"/>
    </row>
    <row r="443" spans="1:13" ht="12.75" hidden="1">
      <c r="A443" s="275" t="s">
        <v>604</v>
      </c>
      <c r="B443" s="251"/>
      <c r="C443" s="186">
        <v>516100</v>
      </c>
      <c r="D443" s="421" t="s">
        <v>592</v>
      </c>
      <c r="E443" s="400"/>
      <c r="F443" s="400">
        <v>0</v>
      </c>
      <c r="G443" s="384" t="e">
        <f t="shared" si="35"/>
        <v>#DIV/0!</v>
      </c>
      <c r="H443" s="385">
        <f t="shared" si="36"/>
        <v>0</v>
      </c>
      <c r="I443" s="418"/>
      <c r="J443" s="473"/>
      <c r="L443" s="11"/>
      <c r="M443" s="11"/>
    </row>
    <row r="444" spans="1:13" ht="12.75" hidden="1">
      <c r="A444" s="275" t="s">
        <v>604</v>
      </c>
      <c r="B444" s="251"/>
      <c r="C444" s="186">
        <v>516100</v>
      </c>
      <c r="D444" s="421" t="s">
        <v>593</v>
      </c>
      <c r="E444" s="400"/>
      <c r="F444" s="400">
        <v>0</v>
      </c>
      <c r="G444" s="384" t="e">
        <f t="shared" si="35"/>
        <v>#DIV/0!</v>
      </c>
      <c r="H444" s="385">
        <f t="shared" si="36"/>
        <v>0</v>
      </c>
      <c r="I444" s="418"/>
      <c r="J444" s="473"/>
      <c r="L444" s="11"/>
      <c r="M444" s="11"/>
    </row>
    <row r="445" spans="1:13" ht="12.75" hidden="1">
      <c r="A445" s="275"/>
      <c r="B445" s="389" t="s">
        <v>580</v>
      </c>
      <c r="C445" s="186"/>
      <c r="D445" s="423" t="s">
        <v>260</v>
      </c>
      <c r="E445" s="393">
        <f>SUM(E446)</f>
        <v>0</v>
      </c>
      <c r="F445" s="393">
        <f>SUM(F446)</f>
        <v>0</v>
      </c>
      <c r="G445" s="394" t="e">
        <f t="shared" si="35"/>
        <v>#DIV/0!</v>
      </c>
      <c r="H445" s="395">
        <f t="shared" si="36"/>
        <v>0</v>
      </c>
      <c r="I445" s="418"/>
      <c r="J445" s="473"/>
      <c r="L445" s="11"/>
      <c r="M445" s="11"/>
    </row>
    <row r="446" spans="1:13" ht="12.75" hidden="1">
      <c r="A446" s="275"/>
      <c r="B446" s="251"/>
      <c r="C446" s="186">
        <v>611000</v>
      </c>
      <c r="D446" s="421" t="s">
        <v>260</v>
      </c>
      <c r="E446" s="400"/>
      <c r="F446" s="400">
        <v>0</v>
      </c>
      <c r="G446" s="384" t="e">
        <f t="shared" si="35"/>
        <v>#DIV/0!</v>
      </c>
      <c r="H446" s="385">
        <f t="shared" si="36"/>
        <v>0</v>
      </c>
      <c r="I446" s="418"/>
      <c r="J446" s="473"/>
      <c r="L446" s="11"/>
      <c r="M446" s="11"/>
    </row>
    <row r="447" spans="1:13" ht="1.5" customHeight="1" hidden="1">
      <c r="A447" s="275"/>
      <c r="B447" s="424" t="s">
        <v>594</v>
      </c>
      <c r="C447" s="425"/>
      <c r="D447" s="423" t="s">
        <v>142</v>
      </c>
      <c r="E447" s="393">
        <f>SUM(E448:E449)</f>
        <v>0</v>
      </c>
      <c r="F447" s="393">
        <f>SUM(F448:F449)</f>
        <v>0</v>
      </c>
      <c r="G447" s="387" t="e">
        <f t="shared" si="35"/>
        <v>#DIV/0!</v>
      </c>
      <c r="H447" s="388">
        <f t="shared" si="36"/>
        <v>0</v>
      </c>
      <c r="I447" s="418"/>
      <c r="J447" s="473"/>
      <c r="L447" s="11"/>
      <c r="M447" s="11"/>
    </row>
    <row r="448" spans="1:13" ht="12.75" hidden="1">
      <c r="A448" s="275"/>
      <c r="B448" s="251"/>
      <c r="C448" s="186">
        <v>621300</v>
      </c>
      <c r="D448" s="421" t="s">
        <v>598</v>
      </c>
      <c r="E448" s="400"/>
      <c r="F448" s="400">
        <v>0</v>
      </c>
      <c r="G448" s="384" t="e">
        <f t="shared" si="35"/>
        <v>#DIV/0!</v>
      </c>
      <c r="H448" s="385">
        <f t="shared" si="36"/>
        <v>0</v>
      </c>
      <c r="I448" s="418"/>
      <c r="J448" s="473"/>
      <c r="L448" s="11"/>
      <c r="M448" s="11"/>
    </row>
    <row r="449" spans="1:13" ht="12.75" hidden="1">
      <c r="A449" s="275"/>
      <c r="B449" s="251"/>
      <c r="C449" s="186">
        <v>621900</v>
      </c>
      <c r="D449" s="421" t="s">
        <v>298</v>
      </c>
      <c r="E449" s="400"/>
      <c r="F449" s="400">
        <v>0</v>
      </c>
      <c r="G449" s="384" t="e">
        <f t="shared" si="35"/>
        <v>#DIV/0!</v>
      </c>
      <c r="H449" s="385">
        <f t="shared" si="36"/>
        <v>0</v>
      </c>
      <c r="I449" s="418"/>
      <c r="J449" s="473"/>
      <c r="L449" s="11"/>
      <c r="M449" s="11"/>
    </row>
    <row r="450" spans="1:13" s="392" customFormat="1" ht="23.25" customHeight="1">
      <c r="A450" s="275"/>
      <c r="B450" s="272" t="s">
        <v>595</v>
      </c>
      <c r="C450" s="425"/>
      <c r="D450" s="423" t="s">
        <v>581</v>
      </c>
      <c r="E450" s="393">
        <f>E451</f>
        <v>0</v>
      </c>
      <c r="F450" s="393">
        <f>F451</f>
        <v>17000</v>
      </c>
      <c r="G450" s="387" t="e">
        <f t="shared" si="35"/>
        <v>#DIV/0!</v>
      </c>
      <c r="H450" s="388">
        <f t="shared" si="36"/>
        <v>0.07657657657657657</v>
      </c>
      <c r="I450" s="418"/>
      <c r="J450" s="473"/>
      <c r="K450"/>
      <c r="L450" s="11"/>
      <c r="M450" s="482"/>
    </row>
    <row r="451" spans="1:13" s="392" customFormat="1" ht="19.5" customHeight="1">
      <c r="A451" s="275"/>
      <c r="B451" s="251"/>
      <c r="C451" s="186">
        <v>628100</v>
      </c>
      <c r="D451" s="421" t="s">
        <v>599</v>
      </c>
      <c r="E451" s="444">
        <v>0</v>
      </c>
      <c r="F451" s="400">
        <v>17000</v>
      </c>
      <c r="G451" s="384" t="e">
        <f t="shared" si="35"/>
        <v>#DIV/0!</v>
      </c>
      <c r="H451" s="385">
        <f t="shared" si="36"/>
        <v>0.07657657657657657</v>
      </c>
      <c r="I451" s="418"/>
      <c r="J451" s="473"/>
      <c r="K451"/>
      <c r="L451" s="11"/>
      <c r="M451" s="482"/>
    </row>
    <row r="452" spans="1:13" ht="13.5">
      <c r="A452" s="275"/>
      <c r="B452" s="272" t="s">
        <v>596</v>
      </c>
      <c r="C452" s="425"/>
      <c r="D452" s="423" t="s">
        <v>322</v>
      </c>
      <c r="E452" s="396">
        <f>SUM(E453)</f>
        <v>0</v>
      </c>
      <c r="F452" s="396">
        <f>SUM(F453)</f>
        <v>35000</v>
      </c>
      <c r="G452" s="394" t="e">
        <f t="shared" si="35"/>
        <v>#DIV/0!</v>
      </c>
      <c r="H452" s="395">
        <f t="shared" si="36"/>
        <v>0.15765765765765766</v>
      </c>
      <c r="I452" s="418"/>
      <c r="J452" s="473"/>
      <c r="L452" s="11"/>
      <c r="M452" s="11"/>
    </row>
    <row r="453" spans="1:13" ht="12.75">
      <c r="A453" s="275"/>
      <c r="B453" s="251"/>
      <c r="C453" s="186">
        <v>631100</v>
      </c>
      <c r="D453" s="421" t="s">
        <v>600</v>
      </c>
      <c r="E453" s="400">
        <v>0</v>
      </c>
      <c r="F453" s="400">
        <v>35000</v>
      </c>
      <c r="G453" s="384" t="e">
        <f t="shared" si="35"/>
        <v>#DIV/0!</v>
      </c>
      <c r="H453" s="385">
        <f t="shared" si="36"/>
        <v>0.15765765765765766</v>
      </c>
      <c r="I453" s="418"/>
      <c r="J453" s="473"/>
      <c r="L453" s="11"/>
      <c r="M453" s="11"/>
    </row>
    <row r="454" spans="1:13" ht="25.5">
      <c r="A454" s="275"/>
      <c r="B454" s="272" t="s">
        <v>597</v>
      </c>
      <c r="C454" s="425"/>
      <c r="D454" s="423" t="s">
        <v>601</v>
      </c>
      <c r="E454" s="396">
        <f>SUM(E455)</f>
        <v>0</v>
      </c>
      <c r="F454" s="396">
        <f>SUM(F455)</f>
        <v>20000</v>
      </c>
      <c r="G454" s="387" t="e">
        <f t="shared" si="35"/>
        <v>#DIV/0!</v>
      </c>
      <c r="H454" s="388">
        <f t="shared" si="36"/>
        <v>0.09009009009009009</v>
      </c>
      <c r="I454" s="418"/>
      <c r="J454" s="473"/>
      <c r="L454" s="11"/>
      <c r="M454" s="11"/>
    </row>
    <row r="455" spans="1:13" ht="28.5" customHeight="1">
      <c r="A455" s="275"/>
      <c r="B455" s="251"/>
      <c r="C455" s="421">
        <v>638100</v>
      </c>
      <c r="D455" s="421" t="s">
        <v>602</v>
      </c>
      <c r="E455" s="400">
        <v>0</v>
      </c>
      <c r="F455" s="400">
        <v>20000</v>
      </c>
      <c r="G455" s="384" t="e">
        <f t="shared" si="35"/>
        <v>#DIV/0!</v>
      </c>
      <c r="H455" s="385">
        <f t="shared" si="36"/>
        <v>0.09009009009009009</v>
      </c>
      <c r="I455" s="418"/>
      <c r="J455" s="516"/>
      <c r="L455" s="11"/>
      <c r="M455" s="11"/>
    </row>
    <row r="456" spans="1:13" ht="23.25" customHeight="1">
      <c r="A456" s="275"/>
      <c r="B456" s="251"/>
      <c r="C456" s="517" t="s">
        <v>551</v>
      </c>
      <c r="D456" s="518"/>
      <c r="E456" s="397">
        <f>E391+E399+E426+E428+E431+E433+E440+E442+E445+E447+E450+E452+E454</f>
        <v>0</v>
      </c>
      <c r="F456" s="397">
        <f>F391+F399+F426+F428+F431+F433+F440+F442+F445+F447+F450+F452+F454</f>
        <v>4468200</v>
      </c>
      <c r="G456" s="398" t="e">
        <f t="shared" si="35"/>
        <v>#DIV/0!</v>
      </c>
      <c r="H456" s="399">
        <f t="shared" si="36"/>
        <v>20.12702702702703</v>
      </c>
      <c r="I456" s="418"/>
      <c r="J456" s="516"/>
      <c r="L456" s="12"/>
      <c r="M456" s="11"/>
    </row>
    <row r="457" spans="1:13" ht="9.75" customHeight="1">
      <c r="A457" s="526"/>
      <c r="B457" s="527"/>
      <c r="C457" s="521" t="s">
        <v>653</v>
      </c>
      <c r="D457" s="522"/>
      <c r="E457" s="178"/>
      <c r="F457" s="178"/>
      <c r="G457" s="178"/>
      <c r="H457" s="179"/>
      <c r="I457" s="6"/>
      <c r="J457" s="473"/>
      <c r="L457" s="11"/>
      <c r="M457" s="11"/>
    </row>
    <row r="458" spans="1:13" ht="9.75" customHeight="1">
      <c r="A458" s="526"/>
      <c r="B458" s="527"/>
      <c r="C458" s="523"/>
      <c r="D458" s="522"/>
      <c r="E458" s="180"/>
      <c r="F458" s="180"/>
      <c r="G458" s="180"/>
      <c r="H458" s="181"/>
      <c r="I458" s="6"/>
      <c r="J458" s="473"/>
      <c r="L458" s="11"/>
      <c r="M458" s="11"/>
    </row>
    <row r="459" spans="1:13" ht="23.25" customHeight="1">
      <c r="A459" s="526"/>
      <c r="B459" s="527"/>
      <c r="C459" s="523"/>
      <c r="D459" s="522"/>
      <c r="E459" s="182"/>
      <c r="F459" s="182"/>
      <c r="G459" s="182"/>
      <c r="H459" s="183"/>
      <c r="I459" s="6"/>
      <c r="J459" s="473"/>
      <c r="L459" s="11"/>
      <c r="M459" s="11"/>
    </row>
    <row r="460" spans="1:13" ht="14.25" customHeight="1">
      <c r="A460" s="148"/>
      <c r="B460" s="67">
        <v>411000</v>
      </c>
      <c r="C460" s="61"/>
      <c r="D460" s="93" t="s">
        <v>329</v>
      </c>
      <c r="E460" s="164">
        <f>SUM(E461)</f>
        <v>15000</v>
      </c>
      <c r="F460" s="164">
        <f>SUM(F461)</f>
        <v>18000</v>
      </c>
      <c r="G460" s="164">
        <f aca="true" t="shared" si="37" ref="G460:G475">F460/E460*100</f>
        <v>120</v>
      </c>
      <c r="H460" s="201">
        <f aca="true" t="shared" si="38" ref="H460:H475">F460/$F$587*100</f>
        <v>0.08108108108108107</v>
      </c>
      <c r="I460" s="6"/>
      <c r="J460" s="11"/>
      <c r="L460" s="11"/>
      <c r="M460" s="11"/>
    </row>
    <row r="461" spans="1:13" ht="24.75" customHeight="1">
      <c r="A461" s="148" t="s">
        <v>27</v>
      </c>
      <c r="B461" s="151"/>
      <c r="C461" s="81">
        <v>411200</v>
      </c>
      <c r="D461" s="87" t="s">
        <v>330</v>
      </c>
      <c r="E461" s="171">
        <v>15000</v>
      </c>
      <c r="F461" s="171">
        <v>18000</v>
      </c>
      <c r="G461" s="167">
        <f t="shared" si="37"/>
        <v>120</v>
      </c>
      <c r="H461" s="202">
        <f t="shared" si="38"/>
        <v>0.08108108108108107</v>
      </c>
      <c r="I461" s="6"/>
      <c r="J461" s="484"/>
      <c r="L461" s="11"/>
      <c r="M461" s="11"/>
    </row>
    <row r="462" spans="1:13" ht="14.25" customHeight="1">
      <c r="A462" s="148"/>
      <c r="B462" s="67">
        <v>412000</v>
      </c>
      <c r="C462" s="81"/>
      <c r="D462" s="93" t="s">
        <v>120</v>
      </c>
      <c r="E462" s="203">
        <f>SUM(E463:E470)</f>
        <v>53200</v>
      </c>
      <c r="F462" s="203">
        <f>SUM(F463:F470)</f>
        <v>53200</v>
      </c>
      <c r="G462" s="164">
        <f t="shared" si="37"/>
        <v>100</v>
      </c>
      <c r="H462" s="204">
        <f t="shared" si="38"/>
        <v>0.23963963963963963</v>
      </c>
      <c r="I462" s="6"/>
      <c r="J462" s="12"/>
      <c r="L462" s="11"/>
      <c r="M462" s="11"/>
    </row>
    <row r="463" spans="1:13" ht="24.75" customHeight="1">
      <c r="A463" s="148" t="s">
        <v>27</v>
      </c>
      <c r="B463" s="67"/>
      <c r="C463" s="81">
        <v>412200</v>
      </c>
      <c r="D463" s="103" t="s">
        <v>122</v>
      </c>
      <c r="E463" s="173">
        <v>35000</v>
      </c>
      <c r="F463" s="173">
        <v>35000</v>
      </c>
      <c r="G463" s="167">
        <f t="shared" si="37"/>
        <v>100</v>
      </c>
      <c r="H463" s="202">
        <f t="shared" si="38"/>
        <v>0.15765765765765766</v>
      </c>
      <c r="I463" s="6"/>
      <c r="J463" s="12"/>
      <c r="L463" s="11"/>
      <c r="M463" s="11"/>
    </row>
    <row r="464" spans="1:13" ht="12.75">
      <c r="A464" s="148" t="s">
        <v>27</v>
      </c>
      <c r="B464" s="67"/>
      <c r="C464" s="81">
        <v>412300</v>
      </c>
      <c r="D464" s="151" t="s">
        <v>123</v>
      </c>
      <c r="E464" s="171">
        <v>3500</v>
      </c>
      <c r="F464" s="171">
        <v>3500</v>
      </c>
      <c r="G464" s="167">
        <f t="shared" si="37"/>
        <v>100</v>
      </c>
      <c r="H464" s="202">
        <f t="shared" si="38"/>
        <v>0.015765765765765764</v>
      </c>
      <c r="I464" s="6"/>
      <c r="J464" s="11"/>
      <c r="L464" s="11"/>
      <c r="M464" s="11"/>
    </row>
    <row r="465" spans="1:13" ht="12.75">
      <c r="A465" s="148" t="s">
        <v>27</v>
      </c>
      <c r="B465" s="67"/>
      <c r="C465" s="81">
        <v>412400</v>
      </c>
      <c r="D465" s="103" t="s">
        <v>124</v>
      </c>
      <c r="E465" s="171">
        <v>4000</v>
      </c>
      <c r="F465" s="171">
        <v>4000</v>
      </c>
      <c r="G465" s="167">
        <f t="shared" si="37"/>
        <v>100</v>
      </c>
      <c r="H465" s="202">
        <f t="shared" si="38"/>
        <v>0.018018018018018018</v>
      </c>
      <c r="I465" s="6"/>
      <c r="J465" s="11"/>
      <c r="L465" s="11"/>
      <c r="M465" s="11"/>
    </row>
    <row r="466" spans="1:13" ht="12.75">
      <c r="A466" s="148" t="s">
        <v>27</v>
      </c>
      <c r="B466" s="67"/>
      <c r="C466" s="81">
        <v>412500</v>
      </c>
      <c r="D466" s="151" t="s">
        <v>125</v>
      </c>
      <c r="E466" s="171">
        <v>3500</v>
      </c>
      <c r="F466" s="171">
        <v>3500</v>
      </c>
      <c r="G466" s="167">
        <f t="shared" si="37"/>
        <v>100</v>
      </c>
      <c r="H466" s="202">
        <f t="shared" si="38"/>
        <v>0.015765765765765764</v>
      </c>
      <c r="I466" s="6"/>
      <c r="J466" s="35"/>
      <c r="L466" s="11"/>
      <c r="M466" s="11"/>
    </row>
    <row r="467" spans="1:13" ht="12.75">
      <c r="A467" s="148" t="s">
        <v>27</v>
      </c>
      <c r="B467" s="67"/>
      <c r="C467" s="81">
        <v>412600</v>
      </c>
      <c r="D467" s="151" t="s">
        <v>126</v>
      </c>
      <c r="E467" s="171">
        <v>1200</v>
      </c>
      <c r="F467" s="171">
        <v>1200</v>
      </c>
      <c r="G467" s="167">
        <f t="shared" si="37"/>
        <v>100</v>
      </c>
      <c r="H467" s="202">
        <f t="shared" si="38"/>
        <v>0.005405405405405406</v>
      </c>
      <c r="I467" s="6"/>
      <c r="L467" s="11"/>
      <c r="M467" s="11"/>
    </row>
    <row r="468" spans="1:13" ht="12.75">
      <c r="A468" s="148" t="s">
        <v>27</v>
      </c>
      <c r="B468" s="67"/>
      <c r="C468" s="151">
        <v>412700</v>
      </c>
      <c r="D468" s="151" t="s">
        <v>127</v>
      </c>
      <c r="E468" s="171">
        <v>3500</v>
      </c>
      <c r="F468" s="171">
        <v>3500</v>
      </c>
      <c r="G468" s="167">
        <f t="shared" si="37"/>
        <v>100</v>
      </c>
      <c r="H468" s="202">
        <f t="shared" si="38"/>
        <v>0.015765765765765764</v>
      </c>
      <c r="I468" s="6"/>
      <c r="L468" s="11"/>
      <c r="M468" s="11"/>
    </row>
    <row r="469" spans="1:13" ht="12.75" customHeight="1" hidden="1">
      <c r="A469" s="148" t="s">
        <v>27</v>
      </c>
      <c r="B469" s="67"/>
      <c r="C469" s="151">
        <v>412700</v>
      </c>
      <c r="D469" s="151" t="s">
        <v>503</v>
      </c>
      <c r="E469" s="173"/>
      <c r="F469" s="173"/>
      <c r="G469" s="167" t="e">
        <f t="shared" si="37"/>
        <v>#DIV/0!</v>
      </c>
      <c r="H469" s="202">
        <f t="shared" si="38"/>
        <v>0</v>
      </c>
      <c r="I469" s="6"/>
      <c r="L469" s="11"/>
      <c r="M469" s="11"/>
    </row>
    <row r="470" spans="1:13" ht="12.75">
      <c r="A470" s="148" t="s">
        <v>27</v>
      </c>
      <c r="B470" s="67"/>
      <c r="C470" s="151">
        <v>412900</v>
      </c>
      <c r="D470" s="151" t="s">
        <v>129</v>
      </c>
      <c r="E470" s="171">
        <v>2500</v>
      </c>
      <c r="F470" s="171">
        <v>2500</v>
      </c>
      <c r="G470" s="167">
        <f t="shared" si="37"/>
        <v>100</v>
      </c>
      <c r="H470" s="202">
        <f t="shared" si="38"/>
        <v>0.01126126126126126</v>
      </c>
      <c r="I470" s="6"/>
      <c r="L470" s="11"/>
      <c r="M470" s="11"/>
    </row>
    <row r="471" spans="1:13" ht="14.25" customHeight="1">
      <c r="A471" s="148"/>
      <c r="B471" s="67">
        <v>511000</v>
      </c>
      <c r="C471" s="151"/>
      <c r="D471" s="162" t="s">
        <v>138</v>
      </c>
      <c r="E471" s="203">
        <f>SUM(E472:E472)</f>
        <v>3000</v>
      </c>
      <c r="F471" s="203">
        <f>SUM(F472:F472)</f>
        <v>3000</v>
      </c>
      <c r="G471" s="164">
        <f t="shared" si="37"/>
        <v>100</v>
      </c>
      <c r="H471" s="204">
        <f t="shared" si="38"/>
        <v>0.013513513513513514</v>
      </c>
      <c r="I471" s="6"/>
      <c r="L471" s="11"/>
      <c r="M471" s="11"/>
    </row>
    <row r="472" spans="1:13" ht="12.75">
      <c r="A472" s="148" t="s">
        <v>27</v>
      </c>
      <c r="B472" s="151"/>
      <c r="C472" s="151">
        <v>511300</v>
      </c>
      <c r="D472" s="151" t="s">
        <v>2</v>
      </c>
      <c r="E472" s="171">
        <v>3000</v>
      </c>
      <c r="F472" s="171">
        <v>3000</v>
      </c>
      <c r="G472" s="167">
        <f t="shared" si="37"/>
        <v>100</v>
      </c>
      <c r="H472" s="202">
        <f t="shared" si="38"/>
        <v>0.013513513513513514</v>
      </c>
      <c r="I472" s="6"/>
      <c r="L472" s="11"/>
      <c r="M472" s="11"/>
    </row>
    <row r="473" spans="1:13" ht="17.25" customHeight="1">
      <c r="A473" s="155"/>
      <c r="B473" s="67">
        <v>516000</v>
      </c>
      <c r="C473" s="151"/>
      <c r="D473" s="162" t="s">
        <v>300</v>
      </c>
      <c r="E473" s="203">
        <f>SUM(E474)</f>
        <v>500</v>
      </c>
      <c r="F473" s="203">
        <f>SUM(F474)</f>
        <v>500</v>
      </c>
      <c r="G473" s="164">
        <f t="shared" si="37"/>
        <v>100</v>
      </c>
      <c r="H473" s="204">
        <f t="shared" si="38"/>
        <v>0.0022522522522522522</v>
      </c>
      <c r="I473" s="6"/>
      <c r="L473" s="11"/>
      <c r="M473" s="11"/>
    </row>
    <row r="474" spans="1:13" ht="12.75">
      <c r="A474" s="148" t="s">
        <v>27</v>
      </c>
      <c r="B474" s="151"/>
      <c r="C474" s="151">
        <v>516100</v>
      </c>
      <c r="D474" s="103" t="s">
        <v>288</v>
      </c>
      <c r="E474" s="171">
        <v>500</v>
      </c>
      <c r="F474" s="171">
        <v>500</v>
      </c>
      <c r="G474" s="167">
        <f t="shared" si="37"/>
        <v>100</v>
      </c>
      <c r="H474" s="202">
        <f t="shared" si="38"/>
        <v>0.0022522522522522522</v>
      </c>
      <c r="I474" s="6"/>
      <c r="L474" s="11"/>
      <c r="M474" s="11"/>
    </row>
    <row r="475" spans="1:13" ht="24.75" customHeight="1">
      <c r="A475" s="524"/>
      <c r="B475" s="525"/>
      <c r="C475" s="517" t="s">
        <v>87</v>
      </c>
      <c r="D475" s="517"/>
      <c r="E475" s="187">
        <f>E460+E462+E471+E473</f>
        <v>71700</v>
      </c>
      <c r="F475" s="187">
        <f>F460+F462+F471+F473</f>
        <v>74700</v>
      </c>
      <c r="G475" s="451">
        <f t="shared" si="37"/>
        <v>104.18410041841004</v>
      </c>
      <c r="H475" s="205">
        <f t="shared" si="38"/>
        <v>0.3364864864864865</v>
      </c>
      <c r="I475" s="6"/>
      <c r="L475" s="11"/>
      <c r="M475" s="11"/>
    </row>
    <row r="476" spans="1:13" ht="9.75" customHeight="1">
      <c r="A476" s="524"/>
      <c r="B476" s="525"/>
      <c r="C476" s="521" t="s">
        <v>654</v>
      </c>
      <c r="D476" s="522"/>
      <c r="E476" s="217"/>
      <c r="F476" s="217"/>
      <c r="G476" s="217"/>
      <c r="H476" s="218"/>
      <c r="I476" s="6"/>
      <c r="L476" s="12"/>
      <c r="M476" s="11"/>
    </row>
    <row r="477" spans="1:13" ht="30" customHeight="1">
      <c r="A477" s="524"/>
      <c r="B477" s="525"/>
      <c r="C477" s="523"/>
      <c r="D477" s="522"/>
      <c r="E477" s="221"/>
      <c r="F477" s="221"/>
      <c r="G477" s="221"/>
      <c r="H477" s="222"/>
      <c r="I477" s="6"/>
      <c r="L477" s="11"/>
      <c r="M477" s="11"/>
    </row>
    <row r="478" spans="1:13" ht="14.25" customHeight="1">
      <c r="A478" s="244"/>
      <c r="B478" s="67">
        <v>411000</v>
      </c>
      <c r="C478" s="61"/>
      <c r="D478" s="93" t="s">
        <v>329</v>
      </c>
      <c r="E478" s="164">
        <f>SUM(E479)</f>
        <v>48000</v>
      </c>
      <c r="F478" s="164">
        <f>SUM(F479)</f>
        <v>46240</v>
      </c>
      <c r="G478" s="164">
        <f aca="true" t="shared" si="39" ref="G478:G495">F478/E478*100</f>
        <v>96.33333333333334</v>
      </c>
      <c r="H478" s="201">
        <f aca="true" t="shared" si="40" ref="H478:H495">F478/$F$587*100</f>
        <v>0.2082882882882883</v>
      </c>
      <c r="I478" s="6"/>
      <c r="L478" s="11"/>
      <c r="M478" s="11"/>
    </row>
    <row r="479" spans="1:13" ht="24" customHeight="1">
      <c r="A479" s="148" t="s">
        <v>52</v>
      </c>
      <c r="B479" s="151"/>
      <c r="C479" s="81">
        <v>411200</v>
      </c>
      <c r="D479" s="87" t="s">
        <v>330</v>
      </c>
      <c r="E479" s="171">
        <v>48000</v>
      </c>
      <c r="F479" s="171">
        <v>46240</v>
      </c>
      <c r="G479" s="167">
        <f t="shared" si="39"/>
        <v>96.33333333333334</v>
      </c>
      <c r="H479" s="202">
        <f t="shared" si="40"/>
        <v>0.2082882882882883</v>
      </c>
      <c r="I479" s="6"/>
      <c r="L479" s="11"/>
      <c r="M479" s="11"/>
    </row>
    <row r="480" spans="1:13" ht="14.25" customHeight="1">
      <c r="A480" s="244"/>
      <c r="B480" s="67">
        <v>412000</v>
      </c>
      <c r="C480" s="81"/>
      <c r="D480" s="93" t="s">
        <v>120</v>
      </c>
      <c r="E480" s="203">
        <f>SUM(E481:E487)</f>
        <v>53400</v>
      </c>
      <c r="F480" s="203">
        <f>SUM(F481:F487)</f>
        <v>53160</v>
      </c>
      <c r="G480" s="164">
        <f t="shared" si="39"/>
        <v>99.5505617977528</v>
      </c>
      <c r="H480" s="204">
        <f t="shared" si="40"/>
        <v>0.23945945945945948</v>
      </c>
      <c r="I480" s="6"/>
      <c r="L480" s="11"/>
      <c r="M480" s="11"/>
    </row>
    <row r="481" spans="1:13" ht="25.5">
      <c r="A481" s="148" t="s">
        <v>52</v>
      </c>
      <c r="B481" s="67"/>
      <c r="C481" s="81">
        <v>412200</v>
      </c>
      <c r="D481" s="103" t="s">
        <v>122</v>
      </c>
      <c r="E481" s="171">
        <v>21000</v>
      </c>
      <c r="F481" s="171">
        <v>21000</v>
      </c>
      <c r="G481" s="167">
        <f t="shared" si="39"/>
        <v>100</v>
      </c>
      <c r="H481" s="202">
        <f t="shared" si="40"/>
        <v>0.0945945945945946</v>
      </c>
      <c r="I481" s="6"/>
      <c r="L481" s="11"/>
      <c r="M481" s="11"/>
    </row>
    <row r="482" spans="1:13" ht="12.75">
      <c r="A482" s="148" t="s">
        <v>52</v>
      </c>
      <c r="B482" s="67"/>
      <c r="C482" s="81">
        <v>412300</v>
      </c>
      <c r="D482" s="151" t="s">
        <v>123</v>
      </c>
      <c r="E482" s="171">
        <v>3000</v>
      </c>
      <c r="F482" s="171">
        <v>3000</v>
      </c>
      <c r="G482" s="167">
        <f t="shared" si="39"/>
        <v>100</v>
      </c>
      <c r="H482" s="202">
        <f t="shared" si="40"/>
        <v>0.013513513513513514</v>
      </c>
      <c r="I482" s="6"/>
      <c r="L482" s="11"/>
      <c r="M482" s="11"/>
    </row>
    <row r="483" spans="1:13" ht="12.75">
      <c r="A483" s="148" t="s">
        <v>52</v>
      </c>
      <c r="B483" s="67"/>
      <c r="C483" s="81">
        <v>412400</v>
      </c>
      <c r="D483" s="103" t="s">
        <v>124</v>
      </c>
      <c r="E483" s="171">
        <v>11500</v>
      </c>
      <c r="F483" s="171">
        <v>9660</v>
      </c>
      <c r="G483" s="167">
        <f t="shared" si="39"/>
        <v>84</v>
      </c>
      <c r="H483" s="202">
        <f t="shared" si="40"/>
        <v>0.04351351351351351</v>
      </c>
      <c r="I483" s="6"/>
      <c r="L483" s="11"/>
      <c r="M483" s="11"/>
    </row>
    <row r="484" spans="1:13" ht="12.75">
      <c r="A484" s="148" t="s">
        <v>52</v>
      </c>
      <c r="B484" s="67"/>
      <c r="C484" s="81">
        <v>412500</v>
      </c>
      <c r="D484" s="151" t="s">
        <v>125</v>
      </c>
      <c r="E484" s="171">
        <v>4000</v>
      </c>
      <c r="F484" s="171">
        <v>5000</v>
      </c>
      <c r="G484" s="167">
        <f t="shared" si="39"/>
        <v>125</v>
      </c>
      <c r="H484" s="202">
        <f t="shared" si="40"/>
        <v>0.02252252252252252</v>
      </c>
      <c r="I484" s="6"/>
      <c r="L484" s="11"/>
      <c r="M484" s="11"/>
    </row>
    <row r="485" spans="1:13" ht="12.75">
      <c r="A485" s="148" t="s">
        <v>52</v>
      </c>
      <c r="B485" s="67"/>
      <c r="C485" s="81">
        <v>412600</v>
      </c>
      <c r="D485" s="151" t="s">
        <v>126</v>
      </c>
      <c r="E485" s="171">
        <v>1400</v>
      </c>
      <c r="F485" s="171">
        <v>1500</v>
      </c>
      <c r="G485" s="167">
        <f t="shared" si="39"/>
        <v>107.14285714285714</v>
      </c>
      <c r="H485" s="202">
        <f t="shared" si="40"/>
        <v>0.006756756756756757</v>
      </c>
      <c r="I485" s="6"/>
      <c r="L485" s="11"/>
      <c r="M485" s="11"/>
    </row>
    <row r="486" spans="1:13" ht="12.75">
      <c r="A486" s="148" t="s">
        <v>52</v>
      </c>
      <c r="B486" s="67"/>
      <c r="C486" s="151">
        <v>412700</v>
      </c>
      <c r="D486" s="151" t="s">
        <v>127</v>
      </c>
      <c r="E486" s="173">
        <v>8500</v>
      </c>
      <c r="F486" s="173">
        <v>9000</v>
      </c>
      <c r="G486" s="167">
        <f t="shared" si="39"/>
        <v>105.88235294117648</v>
      </c>
      <c r="H486" s="202">
        <f t="shared" si="40"/>
        <v>0.040540540540540536</v>
      </c>
      <c r="I486" s="6"/>
      <c r="L486" s="11"/>
      <c r="M486" s="11"/>
    </row>
    <row r="487" spans="1:13" ht="12.75">
      <c r="A487" s="148" t="s">
        <v>52</v>
      </c>
      <c r="B487" s="67"/>
      <c r="C487" s="151">
        <v>412900</v>
      </c>
      <c r="D487" s="151" t="s">
        <v>129</v>
      </c>
      <c r="E487" s="171">
        <v>4000</v>
      </c>
      <c r="F487" s="171">
        <v>4000</v>
      </c>
      <c r="G487" s="167">
        <f t="shared" si="39"/>
        <v>100</v>
      </c>
      <c r="H487" s="202">
        <f t="shared" si="40"/>
        <v>0.018018018018018018</v>
      </c>
      <c r="I487" s="6"/>
      <c r="L487" s="11"/>
      <c r="M487" s="11"/>
    </row>
    <row r="488" spans="1:13" ht="12.75" customHeight="1" hidden="1">
      <c r="A488" s="148"/>
      <c r="B488" s="67">
        <v>419100</v>
      </c>
      <c r="C488" s="151"/>
      <c r="D488" s="174" t="s">
        <v>355</v>
      </c>
      <c r="E488" s="263"/>
      <c r="F488" s="263"/>
      <c r="G488" s="164" t="e">
        <f t="shared" si="39"/>
        <v>#DIV/0!</v>
      </c>
      <c r="H488" s="264">
        <f t="shared" si="40"/>
        <v>0</v>
      </c>
      <c r="I488" s="6"/>
      <c r="L488" s="11"/>
      <c r="M488" s="11"/>
    </row>
    <row r="489" spans="1:13" ht="12.75" customHeight="1" hidden="1">
      <c r="A489" s="148" t="s">
        <v>52</v>
      </c>
      <c r="B489" s="67"/>
      <c r="C489" s="151">
        <v>419100</v>
      </c>
      <c r="D489" s="151" t="s">
        <v>355</v>
      </c>
      <c r="E489" s="171"/>
      <c r="F489" s="171"/>
      <c r="G489" s="164" t="e">
        <f t="shared" si="39"/>
        <v>#DIV/0!</v>
      </c>
      <c r="H489" s="202">
        <f t="shared" si="40"/>
        <v>0</v>
      </c>
      <c r="I489" s="6"/>
      <c r="L489" s="11"/>
      <c r="M489" s="11"/>
    </row>
    <row r="490" spans="1:13" ht="14.25" customHeight="1">
      <c r="A490" s="148"/>
      <c r="B490" s="67">
        <v>511000</v>
      </c>
      <c r="C490" s="81"/>
      <c r="D490" s="162" t="s">
        <v>138</v>
      </c>
      <c r="E490" s="203">
        <f>SUM(E492:E492)</f>
        <v>3000</v>
      </c>
      <c r="F490" s="203">
        <f>SUM(F492:F492)</f>
        <v>5000</v>
      </c>
      <c r="G490" s="164">
        <f t="shared" si="39"/>
        <v>166.66666666666669</v>
      </c>
      <c r="H490" s="204">
        <f t="shared" si="40"/>
        <v>0.02252252252252252</v>
      </c>
      <c r="I490" s="6"/>
      <c r="L490" s="11"/>
      <c r="M490" s="11"/>
    </row>
    <row r="491" spans="1:13" ht="26.25" customHeight="1" hidden="1">
      <c r="A491" s="148" t="s">
        <v>52</v>
      </c>
      <c r="B491" s="67"/>
      <c r="C491" s="81">
        <v>511200</v>
      </c>
      <c r="D491" s="103" t="s">
        <v>149</v>
      </c>
      <c r="E491" s="171"/>
      <c r="F491" s="171"/>
      <c r="G491" s="164" t="e">
        <f t="shared" si="39"/>
        <v>#DIV/0!</v>
      </c>
      <c r="H491" s="204">
        <f t="shared" si="40"/>
        <v>0</v>
      </c>
      <c r="I491" s="6"/>
      <c r="L491" s="11"/>
      <c r="M491" s="11"/>
    </row>
    <row r="492" spans="1:13" ht="15.75" customHeight="1">
      <c r="A492" s="148" t="s">
        <v>52</v>
      </c>
      <c r="B492" s="151"/>
      <c r="C492" s="81">
        <v>511300</v>
      </c>
      <c r="D492" s="151" t="s">
        <v>2</v>
      </c>
      <c r="E492" s="171">
        <v>3000</v>
      </c>
      <c r="F492" s="171">
        <v>5000</v>
      </c>
      <c r="G492" s="167">
        <f t="shared" si="39"/>
        <v>166.66666666666669</v>
      </c>
      <c r="H492" s="202">
        <f t="shared" si="40"/>
        <v>0.02252252252252252</v>
      </c>
      <c r="I492" s="6"/>
      <c r="L492" s="11"/>
      <c r="M492" s="11"/>
    </row>
    <row r="493" spans="1:13" ht="17.25" customHeight="1">
      <c r="A493" s="148"/>
      <c r="B493" s="67">
        <v>516000</v>
      </c>
      <c r="C493" s="81"/>
      <c r="D493" s="162" t="s">
        <v>300</v>
      </c>
      <c r="E493" s="203">
        <f>SUM(E494)</f>
        <v>500</v>
      </c>
      <c r="F493" s="203">
        <f>SUM(F494)</f>
        <v>500</v>
      </c>
      <c r="G493" s="164">
        <f t="shared" si="39"/>
        <v>100</v>
      </c>
      <c r="H493" s="204">
        <f t="shared" si="40"/>
        <v>0.0022522522522522522</v>
      </c>
      <c r="I493" s="6"/>
      <c r="L493" s="11"/>
      <c r="M493" s="11"/>
    </row>
    <row r="494" spans="1:13" ht="14.25" customHeight="1">
      <c r="A494" s="148" t="s">
        <v>52</v>
      </c>
      <c r="B494" s="151"/>
      <c r="C494" s="81">
        <v>516100</v>
      </c>
      <c r="D494" s="103" t="s">
        <v>288</v>
      </c>
      <c r="E494" s="171">
        <v>500</v>
      </c>
      <c r="F494" s="171">
        <v>500</v>
      </c>
      <c r="G494" s="167">
        <f t="shared" si="39"/>
        <v>100</v>
      </c>
      <c r="H494" s="202">
        <f t="shared" si="40"/>
        <v>0.0022522522522522522</v>
      </c>
      <c r="I494" s="6"/>
      <c r="L494" s="11"/>
      <c r="M494" s="11"/>
    </row>
    <row r="495" spans="1:13" ht="30" customHeight="1">
      <c r="A495" s="524"/>
      <c r="B495" s="525"/>
      <c r="C495" s="517" t="s">
        <v>88</v>
      </c>
      <c r="D495" s="518"/>
      <c r="E495" s="187">
        <f>E478+E480+E490+E488+E493</f>
        <v>104900</v>
      </c>
      <c r="F495" s="187">
        <f>F478+F480+F490+F488+F493</f>
        <v>104900</v>
      </c>
      <c r="G495" s="451">
        <f t="shared" si="39"/>
        <v>100</v>
      </c>
      <c r="H495" s="205">
        <f t="shared" si="40"/>
        <v>0.4725225225225225</v>
      </c>
      <c r="I495" s="6"/>
      <c r="L495" s="11"/>
      <c r="M495" s="11"/>
    </row>
    <row r="496" spans="1:13" ht="9.75" customHeight="1">
      <c r="A496" s="536"/>
      <c r="B496" s="537"/>
      <c r="C496" s="565" t="s">
        <v>655</v>
      </c>
      <c r="D496" s="566"/>
      <c r="E496" s="219"/>
      <c r="F496" s="219"/>
      <c r="G496" s="219"/>
      <c r="H496" s="220"/>
      <c r="I496" s="6"/>
      <c r="L496" s="11"/>
      <c r="M496" s="11"/>
    </row>
    <row r="497" spans="1:13" ht="30" customHeight="1">
      <c r="A497" s="524"/>
      <c r="B497" s="525"/>
      <c r="C497" s="523"/>
      <c r="D497" s="522"/>
      <c r="E497" s="221"/>
      <c r="F497" s="221"/>
      <c r="G497" s="221"/>
      <c r="H497" s="222"/>
      <c r="I497" s="6"/>
      <c r="L497" s="11"/>
      <c r="M497" s="11"/>
    </row>
    <row r="498" spans="1:13" ht="14.25" customHeight="1">
      <c r="A498" s="148"/>
      <c r="B498" s="67">
        <v>411000</v>
      </c>
      <c r="C498" s="151"/>
      <c r="D498" s="86" t="s">
        <v>329</v>
      </c>
      <c r="E498" s="163">
        <f>SUM(E499:E502)</f>
        <v>176000</v>
      </c>
      <c r="F498" s="163">
        <f>SUM(F499:F502)</f>
        <v>194000</v>
      </c>
      <c r="G498" s="164">
        <f aca="true" t="shared" si="41" ref="G498:G520">F498/E498*100</f>
        <v>110.22727272727273</v>
      </c>
      <c r="H498" s="201">
        <f aca="true" t="shared" si="42" ref="H498:H520">F498/$F$587*100</f>
        <v>0.8738738738738738</v>
      </c>
      <c r="I498" s="6"/>
      <c r="L498" s="11"/>
      <c r="M498" s="11"/>
    </row>
    <row r="499" spans="1:13" ht="12.75">
      <c r="A499" s="148" t="s">
        <v>31</v>
      </c>
      <c r="B499" s="151"/>
      <c r="C499" s="81">
        <v>411100</v>
      </c>
      <c r="D499" s="87" t="s">
        <v>325</v>
      </c>
      <c r="E499" s="171">
        <v>132000</v>
      </c>
      <c r="F499" s="171">
        <v>150000</v>
      </c>
      <c r="G499" s="167">
        <f t="shared" si="41"/>
        <v>113.63636363636364</v>
      </c>
      <c r="H499" s="202">
        <f t="shared" si="42"/>
        <v>0.6756756756756757</v>
      </c>
      <c r="I499" s="6"/>
      <c r="L499" s="11"/>
      <c r="M499" s="11"/>
    </row>
    <row r="500" spans="1:13" ht="25.5">
      <c r="A500" s="148" t="s">
        <v>31</v>
      </c>
      <c r="B500" s="151"/>
      <c r="C500" s="81">
        <v>411200</v>
      </c>
      <c r="D500" s="87" t="s">
        <v>330</v>
      </c>
      <c r="E500" s="171">
        <v>39000</v>
      </c>
      <c r="F500" s="171">
        <v>40000</v>
      </c>
      <c r="G500" s="167">
        <f t="shared" si="41"/>
        <v>102.56410256410255</v>
      </c>
      <c r="H500" s="202">
        <f t="shared" si="42"/>
        <v>0.18018018018018017</v>
      </c>
      <c r="I500" s="6"/>
      <c r="L500" s="11"/>
      <c r="M500" s="11"/>
    </row>
    <row r="501" spans="1:13" ht="25.5" customHeight="1">
      <c r="A501" s="148" t="s">
        <v>31</v>
      </c>
      <c r="B501" s="151"/>
      <c r="C501" s="81">
        <v>411300</v>
      </c>
      <c r="D501" s="87" t="s">
        <v>415</v>
      </c>
      <c r="E501" s="171">
        <v>1000</v>
      </c>
      <c r="F501" s="171">
        <v>2000</v>
      </c>
      <c r="G501" s="167">
        <f t="shared" si="41"/>
        <v>200</v>
      </c>
      <c r="H501" s="202">
        <f t="shared" si="42"/>
        <v>0.009009009009009009</v>
      </c>
      <c r="I501" s="6"/>
      <c r="L501" s="12"/>
      <c r="M501" s="11"/>
    </row>
    <row r="502" spans="1:13" ht="12.75">
      <c r="A502" s="148" t="s">
        <v>31</v>
      </c>
      <c r="B502" s="151"/>
      <c r="C502" s="81">
        <v>411400</v>
      </c>
      <c r="D502" s="88" t="s">
        <v>326</v>
      </c>
      <c r="E502" s="171">
        <v>4000</v>
      </c>
      <c r="F502" s="171">
        <v>2000</v>
      </c>
      <c r="G502" s="167">
        <f t="shared" si="41"/>
        <v>50</v>
      </c>
      <c r="H502" s="202">
        <f t="shared" si="42"/>
        <v>0.009009009009009009</v>
      </c>
      <c r="I502" s="6"/>
      <c r="L502" s="11"/>
      <c r="M502" s="11"/>
    </row>
    <row r="503" spans="1:13" ht="14.25" customHeight="1">
      <c r="A503" s="148"/>
      <c r="B503" s="67">
        <v>412000</v>
      </c>
      <c r="C503" s="81"/>
      <c r="D503" s="162" t="s">
        <v>120</v>
      </c>
      <c r="E503" s="203">
        <f>SUM(E504:E512)</f>
        <v>37800</v>
      </c>
      <c r="F503" s="203">
        <f>SUM(F504:F512)</f>
        <v>53200</v>
      </c>
      <c r="G503" s="164">
        <f t="shared" si="41"/>
        <v>140.74074074074073</v>
      </c>
      <c r="H503" s="204">
        <f t="shared" si="42"/>
        <v>0.23963963963963963</v>
      </c>
      <c r="I503" s="6"/>
      <c r="L503" s="11"/>
      <c r="M503" s="11"/>
    </row>
    <row r="504" spans="1:13" ht="14.25" customHeight="1">
      <c r="A504" s="148" t="s">
        <v>31</v>
      </c>
      <c r="B504" s="67"/>
      <c r="C504" s="81">
        <v>412100</v>
      </c>
      <c r="D504" s="103" t="s">
        <v>428</v>
      </c>
      <c r="E504" s="173">
        <v>6600</v>
      </c>
      <c r="F504" s="173">
        <v>11000</v>
      </c>
      <c r="G504" s="167">
        <f t="shared" si="41"/>
        <v>166.66666666666669</v>
      </c>
      <c r="H504" s="202">
        <f t="shared" si="42"/>
        <v>0.04954954954954955</v>
      </c>
      <c r="I504" s="6"/>
      <c r="L504" s="11"/>
      <c r="M504" s="11"/>
    </row>
    <row r="505" spans="1:13" ht="25.5">
      <c r="A505" s="148" t="s">
        <v>31</v>
      </c>
      <c r="B505" s="67"/>
      <c r="C505" s="81">
        <v>412200</v>
      </c>
      <c r="D505" s="103" t="s">
        <v>122</v>
      </c>
      <c r="E505" s="171">
        <v>14000</v>
      </c>
      <c r="F505" s="171">
        <v>16000</v>
      </c>
      <c r="G505" s="167">
        <f t="shared" si="41"/>
        <v>114.28571428571428</v>
      </c>
      <c r="H505" s="202">
        <f t="shared" si="42"/>
        <v>0.07207207207207207</v>
      </c>
      <c r="I505" s="6"/>
      <c r="L505" s="11"/>
      <c r="M505" s="11"/>
    </row>
    <row r="506" spans="1:13" ht="12.75">
      <c r="A506" s="148" t="s">
        <v>31</v>
      </c>
      <c r="B506" s="67"/>
      <c r="C506" s="81">
        <v>412300</v>
      </c>
      <c r="D506" s="151" t="s">
        <v>123</v>
      </c>
      <c r="E506" s="171">
        <v>1000</v>
      </c>
      <c r="F506" s="171">
        <v>2000</v>
      </c>
      <c r="G506" s="167">
        <f t="shared" si="41"/>
        <v>200</v>
      </c>
      <c r="H506" s="202">
        <f t="shared" si="42"/>
        <v>0.009009009009009009</v>
      </c>
      <c r="I506" s="6"/>
      <c r="L506" s="11"/>
      <c r="M506" s="11"/>
    </row>
    <row r="507" spans="1:13" ht="12.75">
      <c r="A507" s="148" t="s">
        <v>31</v>
      </c>
      <c r="B507" s="67"/>
      <c r="C507" s="81">
        <v>412500</v>
      </c>
      <c r="D507" s="151" t="s">
        <v>125</v>
      </c>
      <c r="E507" s="171">
        <v>1000</v>
      </c>
      <c r="F507" s="171">
        <v>2000</v>
      </c>
      <c r="G507" s="167">
        <f t="shared" si="41"/>
        <v>200</v>
      </c>
      <c r="H507" s="202">
        <f t="shared" si="42"/>
        <v>0.009009009009009009</v>
      </c>
      <c r="I507" s="6"/>
      <c r="L507" s="11"/>
      <c r="M507" s="11"/>
    </row>
    <row r="508" spans="1:13" ht="12.75">
      <c r="A508" s="148" t="s">
        <v>31</v>
      </c>
      <c r="B508" s="67"/>
      <c r="C508" s="81">
        <v>412600</v>
      </c>
      <c r="D508" s="151" t="s">
        <v>126</v>
      </c>
      <c r="E508" s="171">
        <v>200</v>
      </c>
      <c r="F508" s="171">
        <v>200</v>
      </c>
      <c r="G508" s="167">
        <f t="shared" si="41"/>
        <v>100</v>
      </c>
      <c r="H508" s="202">
        <f t="shared" si="42"/>
        <v>0.0009009009009009009</v>
      </c>
      <c r="I508" s="6"/>
      <c r="L508" s="11"/>
      <c r="M508" s="11"/>
    </row>
    <row r="509" spans="1:13" ht="12.75" customHeight="1">
      <c r="A509" s="148" t="s">
        <v>31</v>
      </c>
      <c r="B509" s="67"/>
      <c r="C509" s="151">
        <v>412700</v>
      </c>
      <c r="D509" s="151" t="s">
        <v>170</v>
      </c>
      <c r="E509" s="173">
        <v>5000</v>
      </c>
      <c r="F509" s="173">
        <v>10000</v>
      </c>
      <c r="G509" s="167">
        <f t="shared" si="41"/>
        <v>200</v>
      </c>
      <c r="H509" s="202">
        <f t="shared" si="42"/>
        <v>0.04504504504504504</v>
      </c>
      <c r="I509" s="6"/>
      <c r="L509" s="11"/>
      <c r="M509" s="11"/>
    </row>
    <row r="510" spans="1:13" ht="15" customHeight="1" hidden="1">
      <c r="A510" s="148" t="s">
        <v>31</v>
      </c>
      <c r="B510" s="67"/>
      <c r="C510" s="151">
        <v>412700</v>
      </c>
      <c r="D510" s="103" t="s">
        <v>504</v>
      </c>
      <c r="E510" s="173"/>
      <c r="F510" s="173"/>
      <c r="G510" s="167" t="e">
        <f t="shared" si="41"/>
        <v>#DIV/0!</v>
      </c>
      <c r="H510" s="202">
        <f t="shared" si="42"/>
        <v>0</v>
      </c>
      <c r="I510" s="6"/>
      <c r="L510" s="11"/>
      <c r="M510" s="11"/>
    </row>
    <row r="511" spans="1:13" ht="14.25" customHeight="1">
      <c r="A511" s="148" t="s">
        <v>31</v>
      </c>
      <c r="B511" s="67"/>
      <c r="C511" s="151">
        <v>412700</v>
      </c>
      <c r="D511" s="103" t="s">
        <v>174</v>
      </c>
      <c r="E511" s="173">
        <v>6000</v>
      </c>
      <c r="F511" s="173">
        <v>6000</v>
      </c>
      <c r="G511" s="167">
        <f t="shared" si="41"/>
        <v>100</v>
      </c>
      <c r="H511" s="202">
        <f t="shared" si="42"/>
        <v>0.02702702702702703</v>
      </c>
      <c r="I511" s="6"/>
      <c r="L511" s="12"/>
      <c r="M511" s="11"/>
    </row>
    <row r="512" spans="1:13" ht="12" customHeight="1">
      <c r="A512" s="148" t="s">
        <v>31</v>
      </c>
      <c r="B512" s="67"/>
      <c r="C512" s="151">
        <v>412900</v>
      </c>
      <c r="D512" s="103" t="s">
        <v>129</v>
      </c>
      <c r="E512" s="354">
        <v>4000</v>
      </c>
      <c r="F512" s="354">
        <v>6000</v>
      </c>
      <c r="G512" s="167">
        <f t="shared" si="41"/>
        <v>150</v>
      </c>
      <c r="H512" s="202">
        <f t="shared" si="42"/>
        <v>0.02702702702702703</v>
      </c>
      <c r="I512" s="6"/>
      <c r="L512" s="11"/>
      <c r="M512" s="11"/>
    </row>
    <row r="513" spans="1:13" ht="11.25" customHeight="1">
      <c r="A513" s="148"/>
      <c r="B513" s="67">
        <v>511000</v>
      </c>
      <c r="C513" s="151"/>
      <c r="D513" s="162" t="s">
        <v>138</v>
      </c>
      <c r="E513" s="203">
        <f>SUM(E514:E515)</f>
        <v>0</v>
      </c>
      <c r="F513" s="203">
        <f>SUM(F514:F515)</f>
        <v>2000</v>
      </c>
      <c r="G513" s="164" t="e">
        <f t="shared" si="41"/>
        <v>#DIV/0!</v>
      </c>
      <c r="H513" s="204">
        <f t="shared" si="42"/>
        <v>0.009009009009009009</v>
      </c>
      <c r="I513" s="6"/>
      <c r="L513" s="11"/>
      <c r="M513" s="11"/>
    </row>
    <row r="514" spans="1:13" ht="15" customHeight="1" hidden="1">
      <c r="A514" s="148" t="s">
        <v>31</v>
      </c>
      <c r="B514" s="151"/>
      <c r="C514" s="81">
        <v>511200</v>
      </c>
      <c r="D514" s="103" t="s">
        <v>149</v>
      </c>
      <c r="E514" s="173"/>
      <c r="F514" s="173"/>
      <c r="G514" s="167" t="e">
        <f t="shared" si="41"/>
        <v>#DIV/0!</v>
      </c>
      <c r="H514" s="202">
        <f t="shared" si="42"/>
        <v>0</v>
      </c>
      <c r="I514" s="6"/>
      <c r="L514" s="11"/>
      <c r="M514" s="11"/>
    </row>
    <row r="515" spans="1:13" ht="12" customHeight="1">
      <c r="A515" s="148" t="s">
        <v>31</v>
      </c>
      <c r="B515" s="151"/>
      <c r="C515" s="81">
        <v>511300</v>
      </c>
      <c r="D515" s="103" t="s">
        <v>2</v>
      </c>
      <c r="E515" s="173">
        <v>0</v>
      </c>
      <c r="F515" s="173">
        <v>2000</v>
      </c>
      <c r="G515" s="167" t="e">
        <f t="shared" si="41"/>
        <v>#DIV/0!</v>
      </c>
      <c r="H515" s="202">
        <f t="shared" si="42"/>
        <v>0.009009009009009009</v>
      </c>
      <c r="I515" s="6"/>
      <c r="L515" s="11"/>
      <c r="M515" s="11"/>
    </row>
    <row r="516" spans="1:13" ht="16.5" customHeight="1">
      <c r="A516" s="148"/>
      <c r="B516" s="67">
        <v>516000</v>
      </c>
      <c r="C516" s="151"/>
      <c r="D516" s="162" t="s">
        <v>300</v>
      </c>
      <c r="E516" s="203">
        <f>SUM(E517:E517)</f>
        <v>3700</v>
      </c>
      <c r="F516" s="203">
        <f>SUM(F517:F517)</f>
        <v>40000</v>
      </c>
      <c r="G516" s="164">
        <f t="shared" si="41"/>
        <v>1081.081081081081</v>
      </c>
      <c r="H516" s="204">
        <f t="shared" si="42"/>
        <v>0.18018018018018017</v>
      </c>
      <c r="I516" s="6"/>
      <c r="L516" s="11"/>
      <c r="M516" s="11"/>
    </row>
    <row r="517" spans="1:13" ht="15.75" customHeight="1">
      <c r="A517" s="148" t="s">
        <v>31</v>
      </c>
      <c r="B517" s="67"/>
      <c r="C517" s="151">
        <v>516100</v>
      </c>
      <c r="D517" s="103" t="s">
        <v>167</v>
      </c>
      <c r="E517" s="167">
        <v>3700</v>
      </c>
      <c r="F517" s="167">
        <v>40000</v>
      </c>
      <c r="G517" s="167">
        <f t="shared" si="41"/>
        <v>1081.081081081081</v>
      </c>
      <c r="H517" s="202">
        <f t="shared" si="42"/>
        <v>0.18018018018018017</v>
      </c>
      <c r="I517" s="6"/>
      <c r="L517" s="11"/>
      <c r="M517" s="11"/>
    </row>
    <row r="518" spans="1:13" ht="12.75">
      <c r="A518" s="148"/>
      <c r="B518" s="67">
        <v>638000</v>
      </c>
      <c r="C518" s="81"/>
      <c r="D518" s="162" t="s">
        <v>327</v>
      </c>
      <c r="E518" s="168">
        <f>SUM(E519)</f>
        <v>5000</v>
      </c>
      <c r="F518" s="168">
        <f>SUM(F519)</f>
        <v>1000</v>
      </c>
      <c r="G518" s="164">
        <f t="shared" si="41"/>
        <v>20</v>
      </c>
      <c r="H518" s="204">
        <f t="shared" si="42"/>
        <v>0.0045045045045045045</v>
      </c>
      <c r="I518" s="6"/>
      <c r="L518" s="11"/>
      <c r="M518" s="11"/>
    </row>
    <row r="519" spans="1:13" ht="25.5">
      <c r="A519" s="148"/>
      <c r="B519" s="151"/>
      <c r="C519" s="81">
        <v>638100</v>
      </c>
      <c r="D519" s="103" t="s">
        <v>328</v>
      </c>
      <c r="E519" s="173">
        <v>5000</v>
      </c>
      <c r="F519" s="173">
        <v>1000</v>
      </c>
      <c r="G519" s="167">
        <f t="shared" si="41"/>
        <v>20</v>
      </c>
      <c r="H519" s="202">
        <f t="shared" si="42"/>
        <v>0.0045045045045045045</v>
      </c>
      <c r="I519" s="6"/>
      <c r="L519" s="11"/>
      <c r="M519" s="11"/>
    </row>
    <row r="520" spans="1:13" ht="24.75" customHeight="1">
      <c r="A520" s="526"/>
      <c r="B520" s="527"/>
      <c r="C520" s="517" t="s">
        <v>89</v>
      </c>
      <c r="D520" s="518"/>
      <c r="E520" s="187">
        <f>E498+E503+E513+E516+E518</f>
        <v>222500</v>
      </c>
      <c r="F520" s="187">
        <f>F498+F503+F513+F516+F518</f>
        <v>290200</v>
      </c>
      <c r="G520" s="451">
        <f t="shared" si="41"/>
        <v>130.42696629213484</v>
      </c>
      <c r="H520" s="205">
        <f t="shared" si="42"/>
        <v>1.3072072072072072</v>
      </c>
      <c r="I520" s="6"/>
      <c r="L520" s="11"/>
      <c r="M520" s="11"/>
    </row>
    <row r="521" spans="1:13" ht="39.75" customHeight="1">
      <c r="A521" s="526"/>
      <c r="B521" s="527"/>
      <c r="C521" s="538" t="s">
        <v>656</v>
      </c>
      <c r="D521" s="564"/>
      <c r="E521" s="265"/>
      <c r="F521" s="265"/>
      <c r="G521" s="265"/>
      <c r="H521" s="266"/>
      <c r="I521" s="6"/>
      <c r="L521" s="11"/>
      <c r="M521" s="11"/>
    </row>
    <row r="522" spans="1:13" ht="14.25" customHeight="1">
      <c r="A522" s="148"/>
      <c r="B522" s="67">
        <v>412000</v>
      </c>
      <c r="C522" s="267"/>
      <c r="D522" s="162" t="s">
        <v>120</v>
      </c>
      <c r="E522" s="203">
        <f>SUM(E523:E527)</f>
        <v>9600</v>
      </c>
      <c r="F522" s="203">
        <f>SUM(F523:F527)</f>
        <v>9900</v>
      </c>
      <c r="G522" s="203">
        <f aca="true" t="shared" si="43" ref="G522:G530">F522/E522*100</f>
        <v>103.125</v>
      </c>
      <c r="H522" s="204">
        <f aca="true" t="shared" si="44" ref="H522:H530">F522/$F$587*100</f>
        <v>0.04459459459459459</v>
      </c>
      <c r="I522" s="6"/>
      <c r="L522" s="11"/>
      <c r="M522" s="11"/>
    </row>
    <row r="523" spans="1:13" ht="24" customHeight="1">
      <c r="A523" s="148" t="s">
        <v>31</v>
      </c>
      <c r="B523" s="151"/>
      <c r="C523" s="268">
        <v>412200</v>
      </c>
      <c r="D523" s="103" t="s">
        <v>122</v>
      </c>
      <c r="E523" s="172">
        <v>3000</v>
      </c>
      <c r="F523" s="172">
        <v>3300</v>
      </c>
      <c r="G523" s="214">
        <f t="shared" si="43"/>
        <v>110.00000000000001</v>
      </c>
      <c r="H523" s="202">
        <f t="shared" si="44"/>
        <v>0.014864864864864866</v>
      </c>
      <c r="I523" s="6"/>
      <c r="L523" s="11"/>
      <c r="M523" s="11"/>
    </row>
    <row r="524" spans="1:13" ht="12.75">
      <c r="A524" s="148" t="s">
        <v>31</v>
      </c>
      <c r="B524" s="151"/>
      <c r="C524" s="268">
        <v>412300</v>
      </c>
      <c r="D524" s="151" t="s">
        <v>123</v>
      </c>
      <c r="E524" s="170">
        <v>1800</v>
      </c>
      <c r="F524" s="170">
        <v>1800</v>
      </c>
      <c r="G524" s="214">
        <f t="shared" si="43"/>
        <v>100</v>
      </c>
      <c r="H524" s="202">
        <f t="shared" si="44"/>
        <v>0.008108108108108109</v>
      </c>
      <c r="I524" s="6"/>
      <c r="L524" s="11"/>
      <c r="M524" s="11"/>
    </row>
    <row r="525" spans="1:13" ht="12.75">
      <c r="A525" s="148" t="s">
        <v>31</v>
      </c>
      <c r="B525" s="151"/>
      <c r="C525" s="268">
        <v>412500</v>
      </c>
      <c r="D525" s="151" t="s">
        <v>125</v>
      </c>
      <c r="E525" s="170">
        <v>1800</v>
      </c>
      <c r="F525" s="170">
        <v>1800</v>
      </c>
      <c r="G525" s="214">
        <f t="shared" si="43"/>
        <v>100</v>
      </c>
      <c r="H525" s="202">
        <f t="shared" si="44"/>
        <v>0.008108108108108109</v>
      </c>
      <c r="I525" s="6"/>
      <c r="L525" s="11"/>
      <c r="M525" s="11"/>
    </row>
    <row r="526" spans="1:13" ht="12.75">
      <c r="A526" s="148" t="s">
        <v>31</v>
      </c>
      <c r="B526" s="151"/>
      <c r="C526" s="268">
        <v>412700</v>
      </c>
      <c r="D526" s="151" t="s">
        <v>127</v>
      </c>
      <c r="E526" s="172">
        <v>2000</v>
      </c>
      <c r="F526" s="172">
        <v>2000</v>
      </c>
      <c r="G526" s="214">
        <f t="shared" si="43"/>
        <v>100</v>
      </c>
      <c r="H526" s="202">
        <f t="shared" si="44"/>
        <v>0.009009009009009009</v>
      </c>
      <c r="I526" s="6"/>
      <c r="L526" s="11"/>
      <c r="M526" s="11"/>
    </row>
    <row r="527" spans="1:13" ht="12.75">
      <c r="A527" s="148" t="s">
        <v>31</v>
      </c>
      <c r="B527" s="151"/>
      <c r="C527" s="268">
        <v>412900</v>
      </c>
      <c r="D527" s="151" t="s">
        <v>129</v>
      </c>
      <c r="E527" s="172">
        <v>1000</v>
      </c>
      <c r="F527" s="172">
        <v>1000</v>
      </c>
      <c r="G527" s="214">
        <f t="shared" si="43"/>
        <v>100</v>
      </c>
      <c r="H527" s="202">
        <f t="shared" si="44"/>
        <v>0.0045045045045045045</v>
      </c>
      <c r="I527" s="6"/>
      <c r="L527" s="12"/>
      <c r="M527" s="11"/>
    </row>
    <row r="528" spans="1:13" ht="12.75">
      <c r="A528" s="148"/>
      <c r="B528" s="67">
        <v>511000</v>
      </c>
      <c r="C528" s="269"/>
      <c r="D528" s="162" t="s">
        <v>138</v>
      </c>
      <c r="E528" s="203">
        <f>SUM(E529)</f>
        <v>1000</v>
      </c>
      <c r="F528" s="203">
        <f>SUM(F529)</f>
        <v>1200</v>
      </c>
      <c r="G528" s="203">
        <f t="shared" si="43"/>
        <v>120</v>
      </c>
      <c r="H528" s="204">
        <f t="shared" si="44"/>
        <v>0.005405405405405406</v>
      </c>
      <c r="I528" s="6"/>
      <c r="L528" s="11"/>
      <c r="M528" s="11"/>
    </row>
    <row r="529" spans="1:13" ht="12.75">
      <c r="A529" s="148" t="s">
        <v>31</v>
      </c>
      <c r="B529" s="151"/>
      <c r="C529" s="268">
        <v>511300</v>
      </c>
      <c r="D529" s="151" t="s">
        <v>2</v>
      </c>
      <c r="E529" s="170">
        <v>1000</v>
      </c>
      <c r="F529" s="170">
        <v>1200</v>
      </c>
      <c r="G529" s="214">
        <f t="shared" si="43"/>
        <v>120</v>
      </c>
      <c r="H529" s="202">
        <f t="shared" si="44"/>
        <v>0.005405405405405406</v>
      </c>
      <c r="I529" s="6"/>
      <c r="L529" s="11"/>
      <c r="M529" s="11"/>
    </row>
    <row r="530" spans="1:13" ht="30" customHeight="1">
      <c r="A530" s="526"/>
      <c r="B530" s="527"/>
      <c r="C530" s="517" t="s">
        <v>273</v>
      </c>
      <c r="D530" s="517"/>
      <c r="E530" s="69">
        <f>E522+E528</f>
        <v>10600</v>
      </c>
      <c r="F530" s="69">
        <f>F522+F528</f>
        <v>11100</v>
      </c>
      <c r="G530" s="452">
        <f t="shared" si="43"/>
        <v>104.71698113207549</v>
      </c>
      <c r="H530" s="205">
        <f t="shared" si="44"/>
        <v>0.05</v>
      </c>
      <c r="I530" s="6"/>
      <c r="L530" s="11"/>
      <c r="M530" s="11"/>
    </row>
    <row r="531" spans="1:13" ht="21.75" customHeight="1">
      <c r="A531" s="189"/>
      <c r="B531" s="190"/>
      <c r="C531" s="521" t="s">
        <v>657</v>
      </c>
      <c r="D531" s="523"/>
      <c r="E531" s="270"/>
      <c r="F531" s="270"/>
      <c r="G531" s="191"/>
      <c r="H531" s="259"/>
      <c r="I531" s="6"/>
      <c r="L531" s="11"/>
      <c r="M531" s="11"/>
    </row>
    <row r="532" spans="1:13" ht="21.75" customHeight="1">
      <c r="A532" s="197"/>
      <c r="B532" s="198"/>
      <c r="C532" s="523"/>
      <c r="D532" s="523"/>
      <c r="E532" s="271"/>
      <c r="F532" s="271"/>
      <c r="G532" s="199"/>
      <c r="H532" s="261"/>
      <c r="I532" s="6"/>
      <c r="L532" s="483"/>
      <c r="M532" s="11"/>
    </row>
    <row r="533" spans="1:13" ht="12.75">
      <c r="A533" s="409"/>
      <c r="B533" s="272" t="s">
        <v>361</v>
      </c>
      <c r="C533" s="410"/>
      <c r="D533" s="93" t="s">
        <v>329</v>
      </c>
      <c r="E533" s="164">
        <f>SUM(E534)</f>
        <v>2500</v>
      </c>
      <c r="F533" s="164">
        <f>SUM(F534)</f>
        <v>2500</v>
      </c>
      <c r="G533" s="164">
        <f aca="true" t="shared" si="45" ref="G533:G546">F533/E533*100</f>
        <v>100</v>
      </c>
      <c r="H533" s="201">
        <f aca="true" t="shared" si="46" ref="H533:H546">F533/$F$587*100</f>
        <v>0.01126126126126126</v>
      </c>
      <c r="I533" s="6"/>
      <c r="L533" s="11"/>
      <c r="M533" s="11"/>
    </row>
    <row r="534" spans="1:13" ht="25.5">
      <c r="A534" s="273" t="s">
        <v>27</v>
      </c>
      <c r="B534" s="272"/>
      <c r="C534" s="357">
        <v>411200</v>
      </c>
      <c r="D534" s="87" t="s">
        <v>330</v>
      </c>
      <c r="E534" s="171">
        <v>2500</v>
      </c>
      <c r="F534" s="171">
        <v>2500</v>
      </c>
      <c r="G534" s="167">
        <f t="shared" si="45"/>
        <v>100</v>
      </c>
      <c r="H534" s="202">
        <f t="shared" si="46"/>
        <v>0.01126126126126126</v>
      </c>
      <c r="I534" s="6"/>
      <c r="L534" s="11"/>
      <c r="M534" s="11"/>
    </row>
    <row r="535" spans="1:13" ht="12.75">
      <c r="A535" s="273"/>
      <c r="B535" s="272" t="s">
        <v>362</v>
      </c>
      <c r="C535" s="358"/>
      <c r="D535" s="93" t="s">
        <v>120</v>
      </c>
      <c r="E535" s="164">
        <f>SUM(E536:E542)</f>
        <v>4100</v>
      </c>
      <c r="F535" s="164">
        <f>SUM(F536:F542)</f>
        <v>4100</v>
      </c>
      <c r="G535" s="164">
        <f t="shared" si="45"/>
        <v>100</v>
      </c>
      <c r="H535" s="201">
        <f t="shared" si="46"/>
        <v>0.01846846846846847</v>
      </c>
      <c r="I535" s="6"/>
      <c r="L535" s="11"/>
      <c r="M535" s="11"/>
    </row>
    <row r="536" spans="1:13" ht="25.5">
      <c r="A536" s="273" t="s">
        <v>27</v>
      </c>
      <c r="B536" s="272"/>
      <c r="C536" s="357">
        <v>412200</v>
      </c>
      <c r="D536" s="103" t="s">
        <v>122</v>
      </c>
      <c r="E536" s="171">
        <v>2000</v>
      </c>
      <c r="F536" s="171">
        <v>2000</v>
      </c>
      <c r="G536" s="167">
        <f t="shared" si="45"/>
        <v>100</v>
      </c>
      <c r="H536" s="202">
        <f t="shared" si="46"/>
        <v>0.009009009009009009</v>
      </c>
      <c r="I536" s="6"/>
      <c r="L536" s="11"/>
      <c r="M536" s="11"/>
    </row>
    <row r="537" spans="1:13" ht="12.75">
      <c r="A537" s="273" t="s">
        <v>27</v>
      </c>
      <c r="B537" s="272"/>
      <c r="C537" s="357">
        <v>412300</v>
      </c>
      <c r="D537" s="151" t="s">
        <v>123</v>
      </c>
      <c r="E537" s="171">
        <v>500</v>
      </c>
      <c r="F537" s="171">
        <v>500</v>
      </c>
      <c r="G537" s="167">
        <f t="shared" si="45"/>
        <v>100</v>
      </c>
      <c r="H537" s="202">
        <f t="shared" si="46"/>
        <v>0.0022522522522522522</v>
      </c>
      <c r="I537" s="6"/>
      <c r="L537" s="11"/>
      <c r="M537" s="11"/>
    </row>
    <row r="538" spans="1:13" ht="13.5" customHeight="1">
      <c r="A538" s="273" t="s">
        <v>27</v>
      </c>
      <c r="B538" s="272"/>
      <c r="C538" s="357">
        <v>412400</v>
      </c>
      <c r="D538" s="103" t="s">
        <v>124</v>
      </c>
      <c r="E538" s="171">
        <v>200</v>
      </c>
      <c r="F538" s="171">
        <v>200</v>
      </c>
      <c r="G538" s="167">
        <f t="shared" si="45"/>
        <v>100</v>
      </c>
      <c r="H538" s="202">
        <f t="shared" si="46"/>
        <v>0.0009009009009009009</v>
      </c>
      <c r="I538" s="6"/>
      <c r="L538" s="11"/>
      <c r="M538" s="11"/>
    </row>
    <row r="539" spans="1:13" ht="12.75" hidden="1">
      <c r="A539" s="273" t="s">
        <v>27</v>
      </c>
      <c r="B539" s="272"/>
      <c r="C539" s="357">
        <v>412600</v>
      </c>
      <c r="D539" s="103" t="s">
        <v>126</v>
      </c>
      <c r="E539" s="171"/>
      <c r="F539" s="171"/>
      <c r="G539" s="167" t="e">
        <f t="shared" si="45"/>
        <v>#DIV/0!</v>
      </c>
      <c r="H539" s="202">
        <f t="shared" si="46"/>
        <v>0</v>
      </c>
      <c r="I539" s="6"/>
      <c r="L539" s="11"/>
      <c r="M539" s="11"/>
    </row>
    <row r="540" spans="1:13" ht="12.75" hidden="1">
      <c r="A540" s="273" t="s">
        <v>27</v>
      </c>
      <c r="B540" s="272"/>
      <c r="C540" s="357">
        <v>412500</v>
      </c>
      <c r="D540" s="103" t="s">
        <v>440</v>
      </c>
      <c r="E540" s="171">
        <v>0</v>
      </c>
      <c r="F540" s="171"/>
      <c r="G540" s="167" t="e">
        <f t="shared" si="45"/>
        <v>#DIV/0!</v>
      </c>
      <c r="H540" s="202">
        <f t="shared" si="46"/>
        <v>0</v>
      </c>
      <c r="I540" s="6"/>
      <c r="L540" s="11"/>
      <c r="M540" s="11"/>
    </row>
    <row r="541" spans="1:13" ht="12.75">
      <c r="A541" s="273" t="s">
        <v>27</v>
      </c>
      <c r="B541" s="272"/>
      <c r="C541" s="357">
        <v>412700</v>
      </c>
      <c r="D541" s="151" t="s">
        <v>127</v>
      </c>
      <c r="E541" s="171">
        <v>800</v>
      </c>
      <c r="F541" s="171">
        <v>800</v>
      </c>
      <c r="G541" s="167">
        <f t="shared" si="45"/>
        <v>100</v>
      </c>
      <c r="H541" s="202">
        <f t="shared" si="46"/>
        <v>0.0036036036036036037</v>
      </c>
      <c r="I541" s="6"/>
      <c r="L541" s="11"/>
      <c r="M541" s="11"/>
    </row>
    <row r="542" spans="1:13" ht="12.75">
      <c r="A542" s="273" t="s">
        <v>27</v>
      </c>
      <c r="B542" s="272"/>
      <c r="C542" s="357">
        <v>412900</v>
      </c>
      <c r="D542" s="151" t="s">
        <v>129</v>
      </c>
      <c r="E542" s="167">
        <v>600</v>
      </c>
      <c r="F542" s="167">
        <v>600</v>
      </c>
      <c r="G542" s="167">
        <f t="shared" si="45"/>
        <v>100</v>
      </c>
      <c r="H542" s="202">
        <f t="shared" si="46"/>
        <v>0.002702702702702703</v>
      </c>
      <c r="I542" s="6"/>
      <c r="L542" s="11"/>
      <c r="M542" s="11"/>
    </row>
    <row r="543" spans="1:13" ht="14.25" customHeight="1">
      <c r="A543" s="275"/>
      <c r="B543" s="67">
        <v>511000</v>
      </c>
      <c r="C543" s="151"/>
      <c r="D543" s="162" t="s">
        <v>138</v>
      </c>
      <c r="E543" s="164">
        <f>SUM(E544:E545)</f>
        <v>4000</v>
      </c>
      <c r="F543" s="164">
        <f>SUM(F544:F545)</f>
        <v>50000</v>
      </c>
      <c r="G543" s="164">
        <f t="shared" si="45"/>
        <v>1250</v>
      </c>
      <c r="H543" s="201">
        <f t="shared" si="46"/>
        <v>0.22522522522522523</v>
      </c>
      <c r="I543" s="6"/>
      <c r="L543" s="11"/>
      <c r="M543" s="11"/>
    </row>
    <row r="544" spans="1:13" ht="12.75" customHeight="1">
      <c r="A544" s="275" t="s">
        <v>27</v>
      </c>
      <c r="B544" s="272"/>
      <c r="C544" s="81">
        <v>511300</v>
      </c>
      <c r="D544" s="151" t="s">
        <v>668</v>
      </c>
      <c r="E544" s="171">
        <v>4000</v>
      </c>
      <c r="F544" s="215">
        <v>50000</v>
      </c>
      <c r="G544" s="167">
        <f t="shared" si="45"/>
        <v>1250</v>
      </c>
      <c r="H544" s="202">
        <f t="shared" si="46"/>
        <v>0.22522522522522523</v>
      </c>
      <c r="I544" s="6"/>
      <c r="L544" s="11"/>
      <c r="M544" s="11"/>
    </row>
    <row r="545" spans="1:13" ht="14.25" customHeight="1" hidden="1">
      <c r="A545" s="275" t="s">
        <v>27</v>
      </c>
      <c r="B545" s="272"/>
      <c r="C545" s="81">
        <v>511300</v>
      </c>
      <c r="D545" s="103" t="s">
        <v>505</v>
      </c>
      <c r="E545" s="167">
        <v>0</v>
      </c>
      <c r="F545" s="167">
        <v>0</v>
      </c>
      <c r="G545" s="167" t="e">
        <f t="shared" si="45"/>
        <v>#DIV/0!</v>
      </c>
      <c r="H545" s="202">
        <f t="shared" si="46"/>
        <v>0</v>
      </c>
      <c r="I545" s="6"/>
      <c r="L545" s="11"/>
      <c r="M545" s="11"/>
    </row>
    <row r="546" spans="1:13" ht="24.75" customHeight="1">
      <c r="A546" s="562"/>
      <c r="B546" s="563"/>
      <c r="C546" s="517" t="s">
        <v>363</v>
      </c>
      <c r="D546" s="518"/>
      <c r="E546" s="253">
        <f>E533+E535+E543</f>
        <v>10600</v>
      </c>
      <c r="F546" s="253">
        <f>F533+F535+F543</f>
        <v>56600</v>
      </c>
      <c r="G546" s="451">
        <f t="shared" si="45"/>
        <v>533.9622641509434</v>
      </c>
      <c r="H546" s="205">
        <f t="shared" si="46"/>
        <v>0.25495495495495496</v>
      </c>
      <c r="I546" s="6"/>
      <c r="L546" s="11"/>
      <c r="M546" s="11"/>
    </row>
    <row r="547" spans="1:13" ht="19.5" customHeight="1">
      <c r="A547" s="524"/>
      <c r="B547" s="525"/>
      <c r="C547" s="521" t="s">
        <v>658</v>
      </c>
      <c r="D547" s="535"/>
      <c r="E547" s="178"/>
      <c r="F547" s="178"/>
      <c r="G547" s="178"/>
      <c r="H547" s="179"/>
      <c r="I547" s="6"/>
      <c r="L547" s="11"/>
      <c r="M547" s="11"/>
    </row>
    <row r="548" spans="1:13" ht="21" customHeight="1">
      <c r="A548" s="524"/>
      <c r="B548" s="525"/>
      <c r="C548" s="534"/>
      <c r="D548" s="535"/>
      <c r="E548" s="182"/>
      <c r="F548" s="182"/>
      <c r="G548" s="182"/>
      <c r="H548" s="183"/>
      <c r="I548" s="6"/>
      <c r="L548" s="11"/>
      <c r="M548" s="11"/>
    </row>
    <row r="549" spans="1:13" ht="14.25" customHeight="1">
      <c r="A549" s="244"/>
      <c r="B549" s="67">
        <v>412000</v>
      </c>
      <c r="C549" s="81"/>
      <c r="D549" s="162" t="s">
        <v>120</v>
      </c>
      <c r="E549" s="164">
        <f>SUM(E550:E550)</f>
        <v>470</v>
      </c>
      <c r="F549" s="164">
        <f>SUM(F550:F550)</f>
        <v>2000</v>
      </c>
      <c r="G549" s="164">
        <f aca="true" t="shared" si="47" ref="G549:G582">F549/E549*100</f>
        <v>425.531914893617</v>
      </c>
      <c r="H549" s="201">
        <f aca="true" t="shared" si="48" ref="H549:H582">F549/$F$587*100</f>
        <v>0.009009009009009009</v>
      </c>
      <c r="I549" s="6"/>
      <c r="L549" s="11"/>
      <c r="M549" s="11"/>
    </row>
    <row r="550" spans="1:13" ht="35.25" customHeight="1">
      <c r="A550" s="148" t="s">
        <v>23</v>
      </c>
      <c r="B550" s="67"/>
      <c r="C550" s="103">
        <v>412900</v>
      </c>
      <c r="D550" s="108" t="s">
        <v>374</v>
      </c>
      <c r="E550" s="173">
        <v>470</v>
      </c>
      <c r="F550" s="216">
        <v>2000</v>
      </c>
      <c r="G550" s="167">
        <f t="shared" si="47"/>
        <v>425.531914893617</v>
      </c>
      <c r="H550" s="202">
        <f t="shared" si="48"/>
        <v>0.009009009009009009</v>
      </c>
      <c r="I550" s="6"/>
      <c r="L550" s="11"/>
      <c r="M550" s="11"/>
    </row>
    <row r="551" spans="1:13" ht="12.75">
      <c r="A551" s="148"/>
      <c r="B551" s="67">
        <v>413000</v>
      </c>
      <c r="C551" s="103"/>
      <c r="D551" s="162" t="s">
        <v>130</v>
      </c>
      <c r="E551" s="203">
        <f>E552+E555</f>
        <v>180000</v>
      </c>
      <c r="F551" s="203">
        <f>F552+F555</f>
        <v>150000</v>
      </c>
      <c r="G551" s="164">
        <f t="shared" si="47"/>
        <v>83.33333333333334</v>
      </c>
      <c r="H551" s="204">
        <f t="shared" si="48"/>
        <v>0.6756756756756757</v>
      </c>
      <c r="I551" s="6"/>
      <c r="L551" s="11"/>
      <c r="M551" s="11"/>
    </row>
    <row r="552" spans="1:13" ht="12.75">
      <c r="A552" s="148"/>
      <c r="B552" s="67"/>
      <c r="C552" s="162"/>
      <c r="D552" s="162" t="s">
        <v>131</v>
      </c>
      <c r="E552" s="230">
        <f>SUM(E553:E554)</f>
        <v>180000</v>
      </c>
      <c r="F552" s="230">
        <f>SUM(F553:F554)</f>
        <v>150000</v>
      </c>
      <c r="G552" s="231">
        <f t="shared" si="47"/>
        <v>83.33333333333334</v>
      </c>
      <c r="H552" s="276">
        <f t="shared" si="48"/>
        <v>0.6756756756756757</v>
      </c>
      <c r="I552" s="6"/>
      <c r="L552" s="11"/>
      <c r="M552" s="11"/>
    </row>
    <row r="553" spans="1:13" ht="13.5" customHeight="1">
      <c r="A553" s="148" t="s">
        <v>55</v>
      </c>
      <c r="B553" s="151"/>
      <c r="C553" s="92">
        <v>413300</v>
      </c>
      <c r="D553" s="103" t="s">
        <v>376</v>
      </c>
      <c r="E553" s="173">
        <v>180000</v>
      </c>
      <c r="F553" s="216">
        <v>150000</v>
      </c>
      <c r="G553" s="167">
        <f t="shared" si="47"/>
        <v>83.33333333333334</v>
      </c>
      <c r="H553" s="202">
        <f t="shared" si="48"/>
        <v>0.6756756756756757</v>
      </c>
      <c r="I553" s="6"/>
      <c r="L553" s="11"/>
      <c r="M553" s="11"/>
    </row>
    <row r="554" spans="1:13" ht="0.75" customHeight="1" hidden="1">
      <c r="A554" s="148" t="s">
        <v>55</v>
      </c>
      <c r="B554" s="151"/>
      <c r="C554" s="92">
        <v>413300</v>
      </c>
      <c r="D554" s="103" t="s">
        <v>534</v>
      </c>
      <c r="E554" s="173">
        <v>0</v>
      </c>
      <c r="F554" s="216"/>
      <c r="G554" s="167" t="e">
        <f t="shared" si="47"/>
        <v>#DIV/0!</v>
      </c>
      <c r="H554" s="202">
        <f t="shared" si="48"/>
        <v>0</v>
      </c>
      <c r="I554" s="10"/>
      <c r="L554" s="11"/>
      <c r="M554" s="11"/>
    </row>
    <row r="555" spans="1:13" ht="0.75" customHeight="1" hidden="1">
      <c r="A555" s="148"/>
      <c r="B555" s="151"/>
      <c r="C555" s="92"/>
      <c r="D555" s="162" t="s">
        <v>472</v>
      </c>
      <c r="E555" s="78">
        <f>SUM(E556:E557)</f>
        <v>0</v>
      </c>
      <c r="F555" s="78">
        <f>SUM(F556:F557)</f>
        <v>0</v>
      </c>
      <c r="G555" s="231" t="e">
        <f t="shared" si="47"/>
        <v>#DIV/0!</v>
      </c>
      <c r="H555" s="277">
        <f t="shared" si="48"/>
        <v>0</v>
      </c>
      <c r="I555" s="366"/>
      <c r="L555" s="11"/>
      <c r="M555" s="11"/>
    </row>
    <row r="556" spans="1:13" ht="15" customHeight="1" hidden="1">
      <c r="A556" s="148" t="s">
        <v>55</v>
      </c>
      <c r="B556" s="151"/>
      <c r="C556" s="92">
        <v>413700</v>
      </c>
      <c r="D556" s="367" t="s">
        <v>532</v>
      </c>
      <c r="E556" s="368">
        <v>0</v>
      </c>
      <c r="F556" s="368"/>
      <c r="G556" s="369" t="e">
        <f t="shared" si="47"/>
        <v>#DIV/0!</v>
      </c>
      <c r="H556" s="370">
        <f t="shared" si="48"/>
        <v>0</v>
      </c>
      <c r="I556" s="366"/>
      <c r="L556" s="11"/>
      <c r="M556" s="11"/>
    </row>
    <row r="557" spans="1:13" ht="12" customHeight="1" hidden="1">
      <c r="A557" s="148" t="s">
        <v>55</v>
      </c>
      <c r="B557" s="151"/>
      <c r="C557" s="81">
        <v>413700</v>
      </c>
      <c r="D557" s="144" t="s">
        <v>533</v>
      </c>
      <c r="E557" s="173">
        <v>0</v>
      </c>
      <c r="F557" s="216"/>
      <c r="G557" s="167" t="e">
        <f t="shared" si="47"/>
        <v>#DIV/0!</v>
      </c>
      <c r="H557" s="202">
        <f t="shared" si="48"/>
        <v>0</v>
      </c>
      <c r="I557" s="6"/>
      <c r="L557" s="11"/>
      <c r="M557" s="11"/>
    </row>
    <row r="558" spans="1:13" ht="24.75" customHeight="1">
      <c r="A558" s="148"/>
      <c r="B558" s="67">
        <v>418000</v>
      </c>
      <c r="C558" s="81"/>
      <c r="D558" s="162" t="s">
        <v>400</v>
      </c>
      <c r="E558" s="164">
        <f>SUM(E559)</f>
        <v>3500</v>
      </c>
      <c r="F558" s="164">
        <f>SUM(F559)</f>
        <v>3500</v>
      </c>
      <c r="G558" s="164">
        <f t="shared" si="47"/>
        <v>100</v>
      </c>
      <c r="H558" s="201">
        <f t="shared" si="48"/>
        <v>0.015765765765765764</v>
      </c>
      <c r="I558" s="6"/>
      <c r="L558" s="11"/>
      <c r="M558" s="11"/>
    </row>
    <row r="559" spans="1:13" ht="24.75" customHeight="1">
      <c r="A559" s="148"/>
      <c r="B559" s="67"/>
      <c r="C559" s="81"/>
      <c r="D559" s="162" t="s">
        <v>403</v>
      </c>
      <c r="E559" s="230">
        <f>SUM(E560)</f>
        <v>3500</v>
      </c>
      <c r="F559" s="230">
        <f>SUM(F560)</f>
        <v>3500</v>
      </c>
      <c r="G559" s="231">
        <f t="shared" si="47"/>
        <v>100</v>
      </c>
      <c r="H559" s="276">
        <f t="shared" si="48"/>
        <v>0.015765765765765764</v>
      </c>
      <c r="I559" s="6"/>
      <c r="L559" s="11"/>
      <c r="M559" s="11"/>
    </row>
    <row r="560" spans="1:13" ht="12.75" customHeight="1">
      <c r="A560" s="148" t="s">
        <v>55</v>
      </c>
      <c r="B560" s="151"/>
      <c r="C560" s="81">
        <v>418100</v>
      </c>
      <c r="D560" s="103" t="s">
        <v>214</v>
      </c>
      <c r="E560" s="173">
        <v>3500</v>
      </c>
      <c r="F560" s="173">
        <v>3500</v>
      </c>
      <c r="G560" s="167">
        <f t="shared" si="47"/>
        <v>100</v>
      </c>
      <c r="H560" s="202">
        <f t="shared" si="48"/>
        <v>0.015765765765765764</v>
      </c>
      <c r="I560" s="6"/>
      <c r="L560" s="11"/>
      <c r="M560" s="11"/>
    </row>
    <row r="561" spans="1:13" ht="15.75" customHeight="1">
      <c r="A561" s="148"/>
      <c r="B561" s="67">
        <v>487000</v>
      </c>
      <c r="C561" s="81"/>
      <c r="D561" s="162" t="s">
        <v>345</v>
      </c>
      <c r="E561" s="203">
        <f>E562+E566</f>
        <v>13200</v>
      </c>
      <c r="F561" s="203">
        <f>F562+F566</f>
        <v>13500</v>
      </c>
      <c r="G561" s="164">
        <f t="shared" si="47"/>
        <v>102.27272727272727</v>
      </c>
      <c r="H561" s="204">
        <f t="shared" si="48"/>
        <v>0.06081081081081081</v>
      </c>
      <c r="I561" s="6"/>
      <c r="L561" s="11"/>
      <c r="M561" s="11"/>
    </row>
    <row r="562" spans="1:13" ht="33.75" customHeight="1">
      <c r="A562" s="148"/>
      <c r="B562" s="67"/>
      <c r="C562" s="81"/>
      <c r="D562" s="107" t="s">
        <v>375</v>
      </c>
      <c r="E562" s="230">
        <f>SUM(E563:E565)</f>
        <v>10000</v>
      </c>
      <c r="F562" s="230">
        <f>SUM(F563:F565)</f>
        <v>10000</v>
      </c>
      <c r="G562" s="231">
        <f t="shared" si="47"/>
        <v>100</v>
      </c>
      <c r="H562" s="276">
        <f t="shared" si="48"/>
        <v>0.04504504504504504</v>
      </c>
      <c r="I562" s="6"/>
      <c r="L562" s="11"/>
      <c r="M562" s="11"/>
    </row>
    <row r="563" spans="1:13" ht="12.75">
      <c r="A563" s="148" t="s">
        <v>35</v>
      </c>
      <c r="B563" s="151"/>
      <c r="C563" s="81">
        <v>487200</v>
      </c>
      <c r="D563" s="103" t="s">
        <v>359</v>
      </c>
      <c r="E563" s="171">
        <v>6000</v>
      </c>
      <c r="F563" s="171">
        <v>6000</v>
      </c>
      <c r="G563" s="167">
        <f t="shared" si="47"/>
        <v>100</v>
      </c>
      <c r="H563" s="202">
        <f t="shared" si="48"/>
        <v>0.02702702702702703</v>
      </c>
      <c r="I563" s="6"/>
      <c r="L563" s="12"/>
      <c r="M563" s="11"/>
    </row>
    <row r="564" spans="1:13" ht="12.75">
      <c r="A564" s="148" t="s">
        <v>35</v>
      </c>
      <c r="B564" s="151"/>
      <c r="C564" s="81">
        <v>487300</v>
      </c>
      <c r="D564" s="103" t="s">
        <v>356</v>
      </c>
      <c r="E564" s="171">
        <v>1000</v>
      </c>
      <c r="F564" s="171">
        <v>1000</v>
      </c>
      <c r="G564" s="167">
        <f t="shared" si="47"/>
        <v>100</v>
      </c>
      <c r="H564" s="202">
        <f t="shared" si="48"/>
        <v>0.0045045045045045045</v>
      </c>
      <c r="I564" s="6"/>
      <c r="L564" s="11"/>
      <c r="M564" s="11"/>
    </row>
    <row r="565" spans="1:13" ht="12.75" customHeight="1">
      <c r="A565" s="148" t="s">
        <v>35</v>
      </c>
      <c r="B565" s="151"/>
      <c r="C565" s="81">
        <v>487400</v>
      </c>
      <c r="D565" s="103" t="s">
        <v>332</v>
      </c>
      <c r="E565" s="171">
        <v>3000</v>
      </c>
      <c r="F565" s="171">
        <v>3000</v>
      </c>
      <c r="G565" s="167">
        <f t="shared" si="47"/>
        <v>100</v>
      </c>
      <c r="H565" s="202">
        <f t="shared" si="48"/>
        <v>0.013513513513513514</v>
      </c>
      <c r="I565" s="6"/>
      <c r="L565" s="11"/>
      <c r="M565" s="11"/>
    </row>
    <row r="566" spans="1:13" ht="12.75">
      <c r="A566" s="148"/>
      <c r="B566" s="151"/>
      <c r="C566" s="81"/>
      <c r="D566" s="162" t="s">
        <v>344</v>
      </c>
      <c r="E566" s="231">
        <f>SUM(E567)</f>
        <v>3200</v>
      </c>
      <c r="F566" s="231">
        <f>SUM(F567)</f>
        <v>3500</v>
      </c>
      <c r="G566" s="231">
        <f t="shared" si="47"/>
        <v>109.375</v>
      </c>
      <c r="H566" s="276">
        <f t="shared" si="48"/>
        <v>0.015765765765765764</v>
      </c>
      <c r="I566" s="6"/>
      <c r="L566" s="11"/>
      <c r="M566" s="11"/>
    </row>
    <row r="567" spans="1:13" ht="24" customHeight="1">
      <c r="A567" s="148" t="s">
        <v>35</v>
      </c>
      <c r="B567" s="151"/>
      <c r="C567" s="81">
        <v>487900</v>
      </c>
      <c r="D567" s="103" t="s">
        <v>399</v>
      </c>
      <c r="E567" s="173">
        <v>3200</v>
      </c>
      <c r="F567" s="173">
        <v>3500</v>
      </c>
      <c r="G567" s="167">
        <f t="shared" si="47"/>
        <v>109.375</v>
      </c>
      <c r="H567" s="202">
        <f t="shared" si="48"/>
        <v>0.015765765765765764</v>
      </c>
      <c r="I567" s="6"/>
      <c r="L567" s="12"/>
      <c r="M567" s="11"/>
    </row>
    <row r="568" spans="1:13" ht="13.5" customHeight="1">
      <c r="A568" s="148"/>
      <c r="B568" s="105">
        <v>621000</v>
      </c>
      <c r="C568" s="81"/>
      <c r="D568" s="162" t="s">
        <v>142</v>
      </c>
      <c r="E568" s="168">
        <f>E569+E572</f>
        <v>897000</v>
      </c>
      <c r="F568" s="168">
        <f>F569+F572</f>
        <v>925000</v>
      </c>
      <c r="G568" s="164">
        <f t="shared" si="47"/>
        <v>103.12151616499443</v>
      </c>
      <c r="H568" s="204">
        <f t="shared" si="48"/>
        <v>4.166666666666666</v>
      </c>
      <c r="I568" s="6"/>
      <c r="L568" s="12"/>
      <c r="M568" s="11"/>
    </row>
    <row r="569" spans="1:13" ht="12.75">
      <c r="A569" s="148"/>
      <c r="B569" s="105"/>
      <c r="C569" s="81"/>
      <c r="D569" s="162" t="s">
        <v>150</v>
      </c>
      <c r="E569" s="230">
        <f>SUM(E570:E571)</f>
        <v>872000</v>
      </c>
      <c r="F569" s="230">
        <f>SUM(F570:F571)</f>
        <v>900000</v>
      </c>
      <c r="G569" s="231">
        <f t="shared" si="47"/>
        <v>103.21100917431193</v>
      </c>
      <c r="H569" s="276">
        <f t="shared" si="48"/>
        <v>4.054054054054054</v>
      </c>
      <c r="I569" s="6"/>
      <c r="L569" s="11"/>
      <c r="M569" s="11"/>
    </row>
    <row r="570" spans="1:13" ht="14.25" customHeight="1">
      <c r="A570" s="148"/>
      <c r="B570" s="67"/>
      <c r="C570" s="112">
        <v>621300</v>
      </c>
      <c r="D570" s="108" t="s">
        <v>377</v>
      </c>
      <c r="E570" s="173">
        <v>872000</v>
      </c>
      <c r="F570" s="216">
        <v>900000</v>
      </c>
      <c r="G570" s="167">
        <f t="shared" si="47"/>
        <v>103.21100917431193</v>
      </c>
      <c r="H570" s="202">
        <f t="shared" si="48"/>
        <v>4.054054054054054</v>
      </c>
      <c r="I570" s="6"/>
      <c r="L570" s="11"/>
      <c r="M570" s="11"/>
    </row>
    <row r="571" spans="1:13" ht="15" customHeight="1" hidden="1">
      <c r="A571" s="148"/>
      <c r="B571" s="67"/>
      <c r="C571" s="112">
        <v>621300</v>
      </c>
      <c r="D571" s="108" t="s">
        <v>535</v>
      </c>
      <c r="E571" s="173">
        <v>0</v>
      </c>
      <c r="F571" s="216">
        <v>0</v>
      </c>
      <c r="G571" s="167" t="e">
        <f t="shared" si="47"/>
        <v>#DIV/0!</v>
      </c>
      <c r="H571" s="202">
        <f t="shared" si="48"/>
        <v>0</v>
      </c>
      <c r="I571" s="6"/>
      <c r="L571" s="12"/>
      <c r="M571" s="11"/>
    </row>
    <row r="572" spans="1:13" ht="12.75">
      <c r="A572" s="148"/>
      <c r="B572" s="67"/>
      <c r="C572" s="112"/>
      <c r="D572" s="107" t="s">
        <v>298</v>
      </c>
      <c r="E572" s="278">
        <f>E573</f>
        <v>25000</v>
      </c>
      <c r="F572" s="278">
        <f>F573</f>
        <v>25000</v>
      </c>
      <c r="G572" s="231">
        <f t="shared" si="47"/>
        <v>100</v>
      </c>
      <c r="H572" s="276">
        <f t="shared" si="48"/>
        <v>0.11261261261261261</v>
      </c>
      <c r="I572" s="6"/>
      <c r="L572" s="11"/>
      <c r="M572" s="11"/>
    </row>
    <row r="573" spans="1:13" ht="14.25" customHeight="1">
      <c r="A573" s="148"/>
      <c r="B573" s="67"/>
      <c r="C573" s="112">
        <v>621900</v>
      </c>
      <c r="D573" s="108" t="s">
        <v>304</v>
      </c>
      <c r="E573" s="173">
        <v>25000</v>
      </c>
      <c r="F573" s="173">
        <v>25000</v>
      </c>
      <c r="G573" s="167">
        <f t="shared" si="47"/>
        <v>100</v>
      </c>
      <c r="H573" s="202">
        <f t="shared" si="48"/>
        <v>0.11261261261261261</v>
      </c>
      <c r="I573" s="6"/>
      <c r="L573" s="11"/>
      <c r="M573" s="11"/>
    </row>
    <row r="574" spans="1:13" ht="25.5">
      <c r="A574" s="148"/>
      <c r="B574" s="67">
        <v>628000</v>
      </c>
      <c r="C574" s="112"/>
      <c r="D574" s="107" t="s">
        <v>401</v>
      </c>
      <c r="E574" s="168">
        <f>SUM(E575)</f>
        <v>180000</v>
      </c>
      <c r="F574" s="168">
        <f>SUM(F575)</f>
        <v>180000</v>
      </c>
      <c r="G574" s="164">
        <f t="shared" si="47"/>
        <v>100</v>
      </c>
      <c r="H574" s="204">
        <f t="shared" si="48"/>
        <v>0.8108108108108109</v>
      </c>
      <c r="I574" s="6"/>
      <c r="L574" s="11"/>
      <c r="M574" s="11"/>
    </row>
    <row r="575" spans="1:13" ht="25.5">
      <c r="A575" s="148"/>
      <c r="B575" s="67"/>
      <c r="C575" s="112"/>
      <c r="D575" s="107" t="s">
        <v>402</v>
      </c>
      <c r="E575" s="230">
        <f>SUM(E576)</f>
        <v>180000</v>
      </c>
      <c r="F575" s="230">
        <f>SUM(F576)</f>
        <v>180000</v>
      </c>
      <c r="G575" s="231">
        <f t="shared" si="47"/>
        <v>100</v>
      </c>
      <c r="H575" s="276">
        <f t="shared" si="48"/>
        <v>0.8108108108108109</v>
      </c>
      <c r="I575" s="6"/>
      <c r="M575" s="11"/>
    </row>
    <row r="576" spans="1:13" ht="12" customHeight="1">
      <c r="A576" s="148"/>
      <c r="B576" s="67"/>
      <c r="C576" s="112">
        <v>628100</v>
      </c>
      <c r="D576" s="108" t="s">
        <v>357</v>
      </c>
      <c r="E576" s="173">
        <v>180000</v>
      </c>
      <c r="F576" s="173">
        <v>180000</v>
      </c>
      <c r="G576" s="167">
        <f t="shared" si="47"/>
        <v>100</v>
      </c>
      <c r="H576" s="202">
        <f t="shared" si="48"/>
        <v>0.8108108108108109</v>
      </c>
      <c r="I576" s="6"/>
      <c r="M576" s="11"/>
    </row>
    <row r="577" spans="1:13" ht="12.75">
      <c r="A577" s="148"/>
      <c r="B577" s="105">
        <v>631000</v>
      </c>
      <c r="C577" s="112"/>
      <c r="D577" s="162" t="s">
        <v>322</v>
      </c>
      <c r="E577" s="168">
        <f>SUM(E578:E579)</f>
        <v>1101500</v>
      </c>
      <c r="F577" s="168">
        <f>SUM(F578:F579)</f>
        <v>8600</v>
      </c>
      <c r="G577" s="164">
        <f t="shared" si="47"/>
        <v>0.7807535179300953</v>
      </c>
      <c r="H577" s="204">
        <f t="shared" si="48"/>
        <v>0.03873873873873874</v>
      </c>
      <c r="I577" s="6"/>
      <c r="M577" s="11"/>
    </row>
    <row r="578" spans="1:13" ht="12.75">
      <c r="A578" s="148"/>
      <c r="B578" s="105"/>
      <c r="C578" s="112">
        <v>631300</v>
      </c>
      <c r="D578" s="103" t="s">
        <v>433</v>
      </c>
      <c r="E578" s="173">
        <v>1098500</v>
      </c>
      <c r="F578" s="173">
        <v>5500</v>
      </c>
      <c r="G578" s="167">
        <f t="shared" si="47"/>
        <v>0.5006827492034593</v>
      </c>
      <c r="H578" s="202">
        <f t="shared" si="48"/>
        <v>0.024774774774774775</v>
      </c>
      <c r="I578" s="360"/>
      <c r="M578" s="11"/>
    </row>
    <row r="579" spans="1:13" ht="25.5">
      <c r="A579" s="148"/>
      <c r="B579" s="105"/>
      <c r="C579" s="112">
        <v>631900</v>
      </c>
      <c r="D579" s="103" t="s">
        <v>368</v>
      </c>
      <c r="E579" s="216">
        <v>3000</v>
      </c>
      <c r="F579" s="216">
        <v>3100</v>
      </c>
      <c r="G579" s="167">
        <f t="shared" si="47"/>
        <v>103.33333333333334</v>
      </c>
      <c r="H579" s="202">
        <f t="shared" si="48"/>
        <v>0.013963963963963964</v>
      </c>
      <c r="I579" s="361"/>
      <c r="M579" s="11"/>
    </row>
    <row r="580" spans="1:13" ht="14.25" customHeight="1">
      <c r="A580" s="148"/>
      <c r="B580" s="67">
        <v>638000</v>
      </c>
      <c r="C580" s="112"/>
      <c r="D580" s="107" t="s">
        <v>358</v>
      </c>
      <c r="E580" s="168">
        <f>E581</f>
        <v>2300</v>
      </c>
      <c r="F580" s="168">
        <f>F581</f>
        <v>2390</v>
      </c>
      <c r="G580" s="164">
        <f t="shared" si="47"/>
        <v>103.91304347826087</v>
      </c>
      <c r="H580" s="204">
        <f t="shared" si="48"/>
        <v>0.010765765765765765</v>
      </c>
      <c r="I580" s="361"/>
      <c r="M580" s="11"/>
    </row>
    <row r="581" spans="1:13" ht="24.75" customHeight="1">
      <c r="A581" s="148"/>
      <c r="B581" s="67"/>
      <c r="C581" s="112">
        <v>638100</v>
      </c>
      <c r="D581" s="108" t="s">
        <v>367</v>
      </c>
      <c r="E581" s="173">
        <v>2300</v>
      </c>
      <c r="F581" s="173">
        <v>2390</v>
      </c>
      <c r="G581" s="167">
        <f t="shared" si="47"/>
        <v>103.91304347826087</v>
      </c>
      <c r="H581" s="202">
        <f t="shared" si="48"/>
        <v>0.010765765765765765</v>
      </c>
      <c r="I581" s="362"/>
      <c r="M581" s="11"/>
    </row>
    <row r="582" spans="1:13" ht="27.75" customHeight="1">
      <c r="A582" s="530"/>
      <c r="B582" s="531"/>
      <c r="C582" s="517" t="s">
        <v>207</v>
      </c>
      <c r="D582" s="517"/>
      <c r="E582" s="187">
        <f>E549+E551+E558+E561+E568+E574+E577+E580</f>
        <v>2377970</v>
      </c>
      <c r="F582" s="187">
        <f>F549+F551+F558+F561+F568+F574+F577+F580</f>
        <v>1284990</v>
      </c>
      <c r="G582" s="451">
        <f t="shared" si="47"/>
        <v>54.037267080745345</v>
      </c>
      <c r="H582" s="205">
        <f t="shared" si="48"/>
        <v>5.788243243243244</v>
      </c>
      <c r="I582" s="6"/>
      <c r="M582" s="11"/>
    </row>
    <row r="583" spans="1:13" ht="19.5" customHeight="1">
      <c r="A583" s="526"/>
      <c r="B583" s="527"/>
      <c r="C583" s="521" t="s">
        <v>659</v>
      </c>
      <c r="D583" s="535"/>
      <c r="E583" s="206"/>
      <c r="F583" s="206"/>
      <c r="G583" s="206"/>
      <c r="H583" s="207"/>
      <c r="I583" s="6"/>
      <c r="M583" s="11"/>
    </row>
    <row r="584" spans="1:13" ht="8.25" customHeight="1">
      <c r="A584" s="526"/>
      <c r="B584" s="527"/>
      <c r="C584" s="534"/>
      <c r="D584" s="535"/>
      <c r="E584" s="279"/>
      <c r="F584" s="279"/>
      <c r="G584" s="279"/>
      <c r="H584" s="280"/>
      <c r="I584" s="6"/>
      <c r="M584" s="11"/>
    </row>
    <row r="585" spans="1:13" ht="12.75" customHeight="1">
      <c r="A585" s="526"/>
      <c r="B585" s="527"/>
      <c r="C585" s="281" t="s">
        <v>192</v>
      </c>
      <c r="D585" s="90" t="s">
        <v>96</v>
      </c>
      <c r="E585" s="274">
        <v>220000</v>
      </c>
      <c r="F585" s="274">
        <v>210000</v>
      </c>
      <c r="G585" s="171">
        <f>F585/E585*100</f>
        <v>95.45454545454545</v>
      </c>
      <c r="H585" s="282">
        <f>F585/$F$587*100</f>
        <v>0.945945945945946</v>
      </c>
      <c r="I585" s="6"/>
      <c r="M585" s="11"/>
    </row>
    <row r="586" spans="1:13" ht="25.5" customHeight="1">
      <c r="A586" s="526"/>
      <c r="B586" s="527"/>
      <c r="C586" s="517" t="s">
        <v>178</v>
      </c>
      <c r="D586" s="518"/>
      <c r="E586" s="187">
        <f>E585</f>
        <v>220000</v>
      </c>
      <c r="F586" s="187">
        <f>F585</f>
        <v>210000</v>
      </c>
      <c r="G586" s="176">
        <f>F586/E586*100</f>
        <v>95.45454545454545</v>
      </c>
      <c r="H586" s="205">
        <f>F586/$F$587*100</f>
        <v>0.945945945945946</v>
      </c>
      <c r="I586" s="6"/>
      <c r="M586" s="11"/>
    </row>
    <row r="587" spans="1:13" ht="24" customHeight="1" thickBot="1">
      <c r="A587" s="528" t="s">
        <v>202</v>
      </c>
      <c r="B587" s="529"/>
      <c r="C587" s="519" t="s">
        <v>208</v>
      </c>
      <c r="D587" s="520"/>
      <c r="E587" s="283">
        <f>E20+E39+E59+E72+E86+E103+E162+E176+E223+E255+E265+E283+E295+E318+E364+E389+E456+E475+E495+E520+E530+E546+E582+E586</f>
        <v>17250000</v>
      </c>
      <c r="F587" s="283">
        <f>F20+F39+F59+F72+F86+F103+F162+F176+F223+F255+F265+F283+F295+F318+F364+F389+F456+F475+F495+F520+F530+F546+F582+F586</f>
        <v>22200000</v>
      </c>
      <c r="G587" s="284">
        <f>F587/E587*100</f>
        <v>128.69565217391303</v>
      </c>
      <c r="H587" s="285">
        <f>F587/$F$587*100</f>
        <v>100</v>
      </c>
      <c r="I587" s="9"/>
      <c r="M587" s="11"/>
    </row>
    <row r="588" spans="1:13" ht="7.5" customHeight="1" thickTop="1">
      <c r="A588" s="36"/>
      <c r="B588" s="36"/>
      <c r="C588" s="38"/>
      <c r="D588" s="38"/>
      <c r="E588" s="39"/>
      <c r="F588" s="39"/>
      <c r="G588" s="39"/>
      <c r="H588" s="40"/>
      <c r="I588" s="9"/>
      <c r="M588" s="11"/>
    </row>
    <row r="589" spans="1:13" ht="12.75">
      <c r="A589" s="7"/>
      <c r="B589" s="6"/>
      <c r="C589" s="6"/>
      <c r="D589" s="416"/>
      <c r="E589" s="21"/>
      <c r="F589" s="21"/>
      <c r="G589" s="21"/>
      <c r="H589" s="32"/>
      <c r="I589" s="6"/>
      <c r="M589" s="11"/>
    </row>
    <row r="590" spans="4:13" ht="12.75">
      <c r="D590" s="469"/>
      <c r="E590" s="470"/>
      <c r="F590" s="470"/>
      <c r="M590" s="11"/>
    </row>
    <row r="591" spans="4:13" ht="12.75">
      <c r="D591" s="469"/>
      <c r="E591" s="470"/>
      <c r="F591" s="470"/>
      <c r="M591" s="11"/>
    </row>
    <row r="592" spans="4:13" ht="12.75">
      <c r="D592" s="471"/>
      <c r="E592" s="467"/>
      <c r="F592" s="467"/>
      <c r="M592" s="11"/>
    </row>
    <row r="593" spans="4:13" ht="12.75">
      <c r="D593" s="2"/>
      <c r="E593" s="2"/>
      <c r="F593" s="461"/>
      <c r="M593" s="11"/>
    </row>
    <row r="594" spans="4:6" ht="12.75">
      <c r="D594" s="468"/>
      <c r="E594" s="472"/>
      <c r="F594" s="467"/>
    </row>
    <row r="595" spans="4:6" ht="12.75">
      <c r="D595" s="468"/>
      <c r="E595" s="467"/>
      <c r="F595" s="467"/>
    </row>
    <row r="599" ht="12.75">
      <c r="F599" s="1"/>
    </row>
    <row r="602" ht="12.75">
      <c r="F602" s="1"/>
    </row>
  </sheetData>
  <sheetProtection/>
  <mergeCells count="135">
    <mergeCell ref="C265:D265"/>
    <mergeCell ref="A546:B546"/>
    <mergeCell ref="C546:D546"/>
    <mergeCell ref="C530:D530"/>
    <mergeCell ref="C521:D521"/>
    <mergeCell ref="C496:D497"/>
    <mergeCell ref="C495:D495"/>
    <mergeCell ref="A521:B521"/>
    <mergeCell ref="A520:B520"/>
    <mergeCell ref="C389:D389"/>
    <mergeCell ref="C583:D584"/>
    <mergeCell ref="A585:B585"/>
    <mergeCell ref="A364:B364"/>
    <mergeCell ref="C547:D548"/>
    <mergeCell ref="A530:B530"/>
    <mergeCell ref="C256:D258"/>
    <mergeCell ref="A495:B495"/>
    <mergeCell ref="C520:D520"/>
    <mergeCell ref="C476:D477"/>
    <mergeCell ref="C457:D459"/>
    <mergeCell ref="C176:D176"/>
    <mergeCell ref="C39:D39"/>
    <mergeCell ref="A72:B72"/>
    <mergeCell ref="A60:B62"/>
    <mergeCell ref="A163:B165"/>
    <mergeCell ref="C177:D180"/>
    <mergeCell ref="C163:D165"/>
    <mergeCell ref="A103:B103"/>
    <mergeCell ref="A104:B107"/>
    <mergeCell ref="C86:D86"/>
    <mergeCell ref="A20:B20"/>
    <mergeCell ref="A162:B162"/>
    <mergeCell ref="A21:B23"/>
    <mergeCell ref="C60:D62"/>
    <mergeCell ref="C21:D23"/>
    <mergeCell ref="A39:B39"/>
    <mergeCell ref="C20:D20"/>
    <mergeCell ref="C72:D72"/>
    <mergeCell ref="A59:B59"/>
    <mergeCell ref="C40:D42"/>
    <mergeCell ref="F2:F3"/>
    <mergeCell ref="G2:G3"/>
    <mergeCell ref="E2:E3"/>
    <mergeCell ref="A5:B7"/>
    <mergeCell ref="A1:H1"/>
    <mergeCell ref="A2:A3"/>
    <mergeCell ref="B2:C2"/>
    <mergeCell ref="D2:D3"/>
    <mergeCell ref="H2:H3"/>
    <mergeCell ref="C5:D7"/>
    <mergeCell ref="C59:D59"/>
    <mergeCell ref="C223:D223"/>
    <mergeCell ref="C87:D89"/>
    <mergeCell ref="C104:D107"/>
    <mergeCell ref="C73:D75"/>
    <mergeCell ref="A73:B75"/>
    <mergeCell ref="A87:B89"/>
    <mergeCell ref="C162:D162"/>
    <mergeCell ref="A86:B86"/>
    <mergeCell ref="A176:B176"/>
    <mergeCell ref="A256:B258"/>
    <mergeCell ref="C390:D390"/>
    <mergeCell ref="A224:B227"/>
    <mergeCell ref="A177:B180"/>
    <mergeCell ref="C224:D227"/>
    <mergeCell ref="C365:D367"/>
    <mergeCell ref="A283:B283"/>
    <mergeCell ref="A265:B265"/>
    <mergeCell ref="A255:B255"/>
    <mergeCell ref="A223:B223"/>
    <mergeCell ref="A457:B459"/>
    <mergeCell ref="A496:B497"/>
    <mergeCell ref="A475:B475"/>
    <mergeCell ref="C266:D267"/>
    <mergeCell ref="C283:D283"/>
    <mergeCell ref="C296:D298"/>
    <mergeCell ref="A389:B389"/>
    <mergeCell ref="J254:J256"/>
    <mergeCell ref="A587:B587"/>
    <mergeCell ref="A582:B582"/>
    <mergeCell ref="A296:B298"/>
    <mergeCell ref="A547:B548"/>
    <mergeCell ref="C284:D286"/>
    <mergeCell ref="C318:D318"/>
    <mergeCell ref="C586:D586"/>
    <mergeCell ref="A586:B586"/>
    <mergeCell ref="C582:D582"/>
    <mergeCell ref="J104:J107"/>
    <mergeCell ref="J163:J165"/>
    <mergeCell ref="J73:J75"/>
    <mergeCell ref="J87:J89"/>
    <mergeCell ref="A476:B477"/>
    <mergeCell ref="A318:B318"/>
    <mergeCell ref="C456:D456"/>
    <mergeCell ref="J264:J265"/>
    <mergeCell ref="J176:J179"/>
    <mergeCell ref="J222:J225"/>
    <mergeCell ref="C103:D103"/>
    <mergeCell ref="C587:D587"/>
    <mergeCell ref="C319:D321"/>
    <mergeCell ref="A319:B321"/>
    <mergeCell ref="C531:D532"/>
    <mergeCell ref="A583:B584"/>
    <mergeCell ref="C364:D364"/>
    <mergeCell ref="C255:D255"/>
    <mergeCell ref="C475:D475"/>
    <mergeCell ref="C295:D295"/>
    <mergeCell ref="J403:J404"/>
    <mergeCell ref="J419:J420"/>
    <mergeCell ref="J455:J456"/>
    <mergeCell ref="J333:J335"/>
    <mergeCell ref="J352:J353"/>
    <mergeCell ref="J372:J373"/>
    <mergeCell ref="J2:J3"/>
    <mergeCell ref="K2:K3"/>
    <mergeCell ref="K4:K7"/>
    <mergeCell ref="K20:K22"/>
    <mergeCell ref="K39:K41"/>
    <mergeCell ref="K59:K61"/>
    <mergeCell ref="J4:J7"/>
    <mergeCell ref="J21:J23"/>
    <mergeCell ref="J40:J42"/>
    <mergeCell ref="J60:J62"/>
    <mergeCell ref="K76:K78"/>
    <mergeCell ref="K93:K96"/>
    <mergeCell ref="K145:K147"/>
    <mergeCell ref="K159:K162"/>
    <mergeCell ref="K204:K207"/>
    <mergeCell ref="K236:K238"/>
    <mergeCell ref="K246:K247"/>
    <mergeCell ref="K315:K317"/>
    <mergeCell ref="K334:K335"/>
    <mergeCell ref="K342:K343"/>
    <mergeCell ref="K381:K382"/>
    <mergeCell ref="K417:K418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r:id="rId3"/>
  <headerFooter alignWithMargins="0">
    <oddFooter>&amp;R&amp;P</oddFooter>
  </headerFooter>
  <rowBreaks count="20" manualBreakCount="20">
    <brk id="38" max="7" man="1"/>
    <brk id="67" max="7" man="1"/>
    <brk id="97" max="7" man="1"/>
    <brk id="136" max="7" man="1"/>
    <brk id="167" max="7" man="1"/>
    <brk id="191" max="7" man="1"/>
    <brk id="218" max="7" man="1"/>
    <brk id="248" max="7" man="1"/>
    <brk id="282" max="7" man="1"/>
    <brk id="311" max="7" man="1"/>
    <brk id="338" max="7" man="1"/>
    <brk id="364" max="7" man="1"/>
    <brk id="389" max="7" man="1"/>
    <brk id="427" max="7" man="1"/>
    <brk id="470" max="7" man="1"/>
    <brk id="499" max="7" man="1"/>
    <brk id="526" max="7" man="1"/>
    <brk id="557" max="7" man="1"/>
    <brk id="582" max="7" man="1"/>
    <brk id="587" max="7" man="1"/>
  </rowBreaks>
  <colBreaks count="1" manualBreakCount="1">
    <brk id="8" max="508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7.28125" style="0" customWidth="1"/>
    <col min="2" max="2" width="49.28125" style="0" customWidth="1"/>
    <col min="3" max="3" width="19.00390625" style="0" customWidth="1"/>
    <col min="4" max="4" width="17.421875" style="0" customWidth="1"/>
    <col min="5" max="5" width="12.421875" style="0" customWidth="1"/>
    <col min="6" max="6" width="10.8515625" style="0" customWidth="1"/>
    <col min="7" max="8" width="13.7109375" style="0" customWidth="1"/>
    <col min="9" max="9" width="14.140625" style="0" customWidth="1"/>
    <col min="10" max="10" width="13.7109375" style="0" customWidth="1"/>
    <col min="11" max="11" width="13.8515625" style="0" customWidth="1"/>
    <col min="12" max="12" width="14.7109375" style="0" customWidth="1"/>
  </cols>
  <sheetData>
    <row r="1" spans="1:6" ht="43.5" customHeight="1">
      <c r="A1" s="567" t="s">
        <v>544</v>
      </c>
      <c r="B1" s="568"/>
      <c r="C1" s="568"/>
      <c r="D1" s="568"/>
      <c r="E1" s="568"/>
      <c r="F1" s="568"/>
    </row>
    <row r="2" spans="1:6" ht="16.5" customHeight="1" thickBot="1">
      <c r="A2" s="569" t="s">
        <v>388</v>
      </c>
      <c r="B2" s="570"/>
      <c r="C2" s="48"/>
      <c r="D2" s="48"/>
      <c r="E2" s="48"/>
      <c r="F2" s="48"/>
    </row>
    <row r="3" spans="1:6" ht="60" customHeight="1" thickTop="1">
      <c r="A3" s="286" t="s">
        <v>215</v>
      </c>
      <c r="B3" s="307" t="s">
        <v>216</v>
      </c>
      <c r="C3" s="335" t="s">
        <v>465</v>
      </c>
      <c r="D3" s="335" t="s">
        <v>548</v>
      </c>
      <c r="E3" s="335" t="s">
        <v>110</v>
      </c>
      <c r="F3" s="287" t="s">
        <v>115</v>
      </c>
    </row>
    <row r="4" spans="1:6" ht="15" customHeight="1">
      <c r="A4" s="128">
        <v>1</v>
      </c>
      <c r="B4" s="122">
        <v>2</v>
      </c>
      <c r="C4" s="129" t="s">
        <v>434</v>
      </c>
      <c r="D4" s="129" t="s">
        <v>550</v>
      </c>
      <c r="E4" s="129" t="s">
        <v>546</v>
      </c>
      <c r="F4" s="130">
        <v>6</v>
      </c>
    </row>
    <row r="5" spans="1:8" ht="12.75">
      <c r="A5" s="148" t="s">
        <v>58</v>
      </c>
      <c r="B5" s="151" t="s">
        <v>67</v>
      </c>
      <c r="C5" s="336">
        <f>SUM(SUMIF(Org!$A$8:Org!$A$585," 0111",Org!E$8:Org!E$585),SUMIF(Org!$A$10:Org!$A$585," 0160",Org!E$10:Org!E$586),SUMIF(Org!$A$10:Org!$A$585," 0180",Org!E$10:Org!E$586),SUMIF(Org!$A$10:Org!$A$585,"0170 ",Org!E$10:Org!E$585))-'B.pr. i prim. za nef. im.'!D111-'B.pr. i prim. za nef. im.'!D113</f>
        <v>3062140</v>
      </c>
      <c r="D5" s="336">
        <f>SUM(SUMIF(Org!$A$8:Org!$A$585," 0111",Org!F$8:Org!F$585),SUMIF(Org!$A$10:Org!$A$585," 0160",Org!F$10:Org!F$586),SUMIF(Org!$A$10:Org!$A$585," 0180",Org!F$10:Org!F$586),SUMIF(Org!$A$9:Org!$A$585,"0113",Org!F$9:Org!F$585),SUMIF(Org!$A$10:Org!$A$585,"0170 ",Org!F$10:Org!F$585))-'B.pr. i prim. za nef. im.'!E111-'B.pr. i prim. za nef. im.'!E113</f>
        <v>5154650</v>
      </c>
      <c r="E5" s="336">
        <f aca="true" t="shared" si="0" ref="E5:E15">D5/C5*100</f>
        <v>168.33488997890365</v>
      </c>
      <c r="F5" s="297">
        <f>D5/$D$15*100</f>
        <v>25.7680834992584</v>
      </c>
      <c r="H5" s="1"/>
    </row>
    <row r="6" spans="1:8" ht="12.75">
      <c r="A6" s="148" t="s">
        <v>59</v>
      </c>
      <c r="B6" s="337" t="s">
        <v>68</v>
      </c>
      <c r="C6" s="336">
        <f>SUM(SUMIF(Org!$A$10:Org!$A$586,"02",Org!E$10:Org!E$586))</f>
        <v>0</v>
      </c>
      <c r="D6" s="336">
        <f>SUM(SUMIF(Org!$A$10:Org!$A$586,"02",Org!F$10:Org!F$586))</f>
        <v>0</v>
      </c>
      <c r="E6" s="336" t="e">
        <f t="shared" si="0"/>
        <v>#DIV/0!</v>
      </c>
      <c r="F6" s="297">
        <f aca="true" t="shared" si="1" ref="F6:F15">D6/$D$15*100</f>
        <v>0</v>
      </c>
      <c r="H6" s="1"/>
    </row>
    <row r="7" spans="1:8" ht="12.75">
      <c r="A7" s="148" t="s">
        <v>60</v>
      </c>
      <c r="B7" s="151" t="s">
        <v>69</v>
      </c>
      <c r="C7" s="336">
        <f>SUM(SUMIF(Org!$A$10:Org!$A$585," 0320",Org!E$10:Org!E$586),SUMIF(Org!$A$10:Org!$A$585,"0350",Org!$E$10:Org!$E$585))</f>
        <v>302400</v>
      </c>
      <c r="D7" s="336">
        <f>SUM(SUMIF(Org!$A$10:Org!$A$585," 0320",Org!F$10:Org!F$586),SUMIF(Org!$A$10:Org!$A$585,"0350",Org!$E$10:Org!$E$585))</f>
        <v>289750</v>
      </c>
      <c r="E7" s="336">
        <f t="shared" si="0"/>
        <v>95.81679894179894</v>
      </c>
      <c r="F7" s="297">
        <f t="shared" si="1"/>
        <v>1.4484595838534373</v>
      </c>
      <c r="H7" s="1"/>
    </row>
    <row r="8" spans="1:8" ht="12.75">
      <c r="A8" s="148" t="s">
        <v>61</v>
      </c>
      <c r="B8" s="223" t="s">
        <v>70</v>
      </c>
      <c r="C8" s="336">
        <f>SUM(SUMIF(Org!$A$10:Org!$A$585," 0412",Org!E$10:Org!E$585),SUMIF(Org!$A$10:Org!$A$585," 0421",Org!E$10:Org!E$585),SUMIF(Org!$A$10:Org!$A$585," 0422",Org!E$10:Org!E$585),SUMIF(Org!$A$10:Org!$A$585," 0442",Org!E$10:Org!E$585),SUMIF(Org!$A$10:Org!$A$585," 0451",Org!E$10:Org!E$586),SUMIF(Org!$A$10:Org!$A$585," 0473",Org!E$10:Org!E$586),SUMIF(Org!$A$10:Org!$A$585,"0474 ",Org!E$10:Org!E$585),SUMIF(Org!$A$10:Org!$A$585,"0490 ",Org!E$10:Org!E$585))</f>
        <v>1097000</v>
      </c>
      <c r="D8" s="336">
        <f>SUM(SUMIF(Org!$A$10:Org!$A$585," 0412",Org!F$10:Org!F$585),SUMIF(Org!$A$10:Org!$A$585," 0421",Org!F$10:Org!F$585),SUMIF(Org!$A$10:Org!$A$585," 0422",Org!F$10:Org!F$585),SUMIF(Org!$A$10:Org!$A$585," 0442",Org!F$10:Org!F$585),SUMIF(Org!$A$10:Org!$A$585," 0451",Org!F$10:Org!F$586),SUMIF(Org!$A$10:Org!$A$585," 0473",Org!F$10:Org!F$586),SUMIF(Org!$A$10:Org!$A$585,"0474 ",Org!F$10:Org!F$585),SUMIF(Org!$A$10:Org!$A$585,"0490 ",Org!F$10:Org!F$585))</f>
        <v>1050000</v>
      </c>
      <c r="E8" s="336">
        <f t="shared" si="0"/>
        <v>95.71558796718323</v>
      </c>
      <c r="F8" s="297">
        <f t="shared" si="1"/>
        <v>5.248947586009005</v>
      </c>
      <c r="G8" s="1"/>
      <c r="H8" s="1"/>
    </row>
    <row r="9" spans="1:8" ht="12.75">
      <c r="A9" s="148" t="s">
        <v>62</v>
      </c>
      <c r="B9" s="223" t="s">
        <v>71</v>
      </c>
      <c r="C9" s="336">
        <f>SUM(SUMIF(Org!$A$10:Org!$A$585," 0510",Org!E$10:Org!E$585))</f>
        <v>69000</v>
      </c>
      <c r="D9" s="336">
        <f>SUM(SUMIF(Org!$A$10:Org!$A$585," 0510",Org!F$10:Org!F$585))</f>
        <v>0</v>
      </c>
      <c r="E9" s="336">
        <f t="shared" si="0"/>
        <v>0</v>
      </c>
      <c r="F9" s="297">
        <f t="shared" si="1"/>
        <v>0</v>
      </c>
      <c r="H9" s="1"/>
    </row>
    <row r="10" spans="1:8" ht="12.75">
      <c r="A10" s="148" t="s">
        <v>63</v>
      </c>
      <c r="B10" s="223" t="s">
        <v>72</v>
      </c>
      <c r="C10" s="336">
        <f>SUM(SUMIF(Org!$A$10:Org!$A$585,"0610 ",Org!E$10:Org!E$585),SUMIF(Org!$A$10:Org!$A$585,"0630 ",Org!E$10:Org!E$585),SUMIF(Org!$A$10:Org!$A$585,"0620",Org!E$10:Org!E$585),SUMIF(Org!$A$10:Org!$A$585,"0660",Org!E$10:Org!E$585))</f>
        <v>1824000</v>
      </c>
      <c r="D10" s="336">
        <f>SUM(SUMIF(Org!$A$10:Org!$A$585,"0610 ",Org!F$10:Org!F$585),SUMIF(Org!$A$10:Org!$A$585,"0630 ",Org!F$10:Org!F$585),SUMIF(Org!$A$10:Org!$A$585,"0620",Org!F$10:Org!F$585),SUMIF(Org!$A$10:Org!$A$585,"0660",Org!F$10:Org!F$585))</f>
        <v>2582500</v>
      </c>
      <c r="E10" s="336">
        <f t="shared" si="0"/>
        <v>141.5844298245614</v>
      </c>
      <c r="F10" s="297">
        <f t="shared" si="1"/>
        <v>12.909911562731672</v>
      </c>
      <c r="H10" s="1"/>
    </row>
    <row r="11" spans="1:8" ht="12.75">
      <c r="A11" s="148" t="s">
        <v>64</v>
      </c>
      <c r="B11" s="82" t="s">
        <v>73</v>
      </c>
      <c r="C11" s="336">
        <f>SUM(SUMIF(Org!$A$10:Org!$A$585,"0740",Org!E$10:Org!E$585),SUMIF(Org!$A$10:Org!$A$585,"0720",Org!E$10:Org!E$585),SUMIF(Org!$A$10:Org!$A$585,"0734",Org!E$10:Org!E$585))</f>
        <v>243400</v>
      </c>
      <c r="D11" s="336">
        <f>SUM(SUMIF(Org!$A$10:Org!$A$585,"0740",Org!F$10:Org!F$585),SUMIF(Org!$A$10:Org!$A$585,"0720",Org!F$10:Org!F$585),SUMIF(Org!$A$10:Org!$A$585,"0734",Org!F$10:Org!F$585))</f>
        <v>4438200</v>
      </c>
      <c r="E11" s="336">
        <f t="shared" si="0"/>
        <v>1823.4182415776497</v>
      </c>
      <c r="F11" s="297">
        <f t="shared" si="1"/>
        <v>22.18655159640492</v>
      </c>
      <c r="G11" s="1"/>
      <c r="H11" s="1"/>
    </row>
    <row r="12" spans="1:8" ht="12.75">
      <c r="A12" s="148" t="s">
        <v>65</v>
      </c>
      <c r="B12" s="82" t="s">
        <v>74</v>
      </c>
      <c r="C12" s="336">
        <f>SUM(SUMIF(Org!$A$10:Org!$A$585,"0810",Org!E$10:E$586),SUMIF(Org!$A$10:Org!$A$586,"0820",Org!E$10:Org!E$586),SUMIF(Org!$A$10:Org!$A$586,"0830",Org!E$10:Org!E$586),SUMIF(Org!$A$10:Org!$A$585,"0840",Org!E$10:Org!E$586),SUMIF(Org!$A$10:Org!$A$585,"0860",Org!E$10:Org!E$586))-'B.pr. i prim. za nef. im.'!D116</f>
        <v>1038600</v>
      </c>
      <c r="D12" s="336">
        <f>SUM(SUMIF(Org!$A$10:Org!$A$585,"0810",Org!F$10:F$586),SUMIF(Org!$A$10:Org!$A$586,"0820",Org!F$10:Org!F$586),SUMIF(Org!$A$10:Org!$A$586,"0830",Org!F$10:Org!F$586),SUMIF(Org!$A$10:Org!$A$585,"0840",Org!F$10:Org!F$586),SUMIF(Org!$A$10:Org!$A$585,"0860",Org!F$10:Org!F$586))-'B.pr. i prim. za nef. im.'!E116</f>
        <v>1141300</v>
      </c>
      <c r="E12" s="336">
        <f t="shared" si="0"/>
        <v>109.88831118813789</v>
      </c>
      <c r="F12" s="297">
        <f t="shared" si="1"/>
        <v>5.705356076106741</v>
      </c>
      <c r="H12" s="1"/>
    </row>
    <row r="13" spans="1:8" ht="14.25">
      <c r="A13" s="148" t="s">
        <v>66</v>
      </c>
      <c r="B13" s="223" t="s">
        <v>75</v>
      </c>
      <c r="C13" s="336">
        <f>SUM(SUMIF(Org!$A$10:Org!$A$585,"0912",Org!E$10:Org!E$586),SUMIF(Org!$A$10:Org!$A$585,"0911",Org!E$10:Org!E$586),SUMIF(Org!$A$10:Org!$A$585,"0941",Org!E$10:Org!E$586),SUMIF(Org!$A$10:Org!$A$585,"0942",Org!E$10:Org!E$586),SUMIF(Org!$A$10:Org!$A$585,"0922",Org!E$10:Org!E$586),SUMIF(Org!$A$10:Org!$A$585,"0921",Org!E$10:Org!E$586))</f>
        <v>1253910</v>
      </c>
      <c r="D13" s="336">
        <f>SUM(SUMIF(Org!$A$10:Org!$A$585,"0912",Org!F$10:Org!F$586),SUMIF(Org!$A$10:Org!$A$585,"0911",Org!F$10:Org!F$586),SUMIF(Org!$A$10:Org!$A$585,"0941",Org!F$10:Org!F$586),SUMIF(Org!$A$10:Org!$A$585,"0942",Org!F$10:Org!F$586),SUMIF(Org!$A$10:Org!$A$585,"0922",Org!F$10:Org!F$586),SUMIF(Org!$A$10:Org!$A$585,"0921",Org!F$10:Org!F$586))</f>
        <v>1354410</v>
      </c>
      <c r="E13" s="336">
        <f t="shared" si="0"/>
        <v>108.01492930114603</v>
      </c>
      <c r="F13" s="297">
        <f t="shared" si="1"/>
        <v>6.77069247615853</v>
      </c>
      <c r="H13" s="43"/>
    </row>
    <row r="14" spans="1:8" ht="12.75">
      <c r="A14" s="302">
        <v>10</v>
      </c>
      <c r="B14" s="223" t="s">
        <v>76</v>
      </c>
      <c r="C14" s="336">
        <f>SUM(SUMIF(Org!$A$10:Org!$A$586,"1011",Org!E$10:Org!E$586),SUMIF(Org!$A$10:Org!$A$586,"1020",Org!E$10:Org!E$586),SUMIF(Org!$A$10:Org!$A$586,"1090",Org!E$10:Org!E$586),SUMIF(Org!$A$10:Org!$A$586,"1040",Org!E$10:Org!E$586))</f>
        <v>3617250</v>
      </c>
      <c r="D14" s="336">
        <f>SUM(SUMIF(Org!$A$10:Org!$A$586,"1011",Org!F$10:Org!F$586),SUMIF(Org!$A$10:Org!$A$586,"1020",Org!F$10:Org!F$586),SUMIF(Org!$A$10:Org!$A$586,"1090",Org!F$10:Org!F$586),SUMIF(Org!$A$9:Org!$A$586,"1070",Org!F$9:Org!F$586),SUMIF(Org!$A$10:Org!$A$586,"1040",Org!F$10:Org!F$586))</f>
        <v>3993200</v>
      </c>
      <c r="E14" s="336">
        <f t="shared" si="0"/>
        <v>110.39325454419794</v>
      </c>
      <c r="F14" s="297">
        <f t="shared" si="1"/>
        <v>19.961997619477295</v>
      </c>
      <c r="G14" s="1"/>
      <c r="H14" s="1"/>
    </row>
    <row r="15" spans="1:8" ht="22.5" customHeight="1" thickBot="1">
      <c r="A15" s="338"/>
      <c r="B15" s="339" t="s">
        <v>339</v>
      </c>
      <c r="C15" s="340">
        <f>SUM(C5:C14)</f>
        <v>12507700</v>
      </c>
      <c r="D15" s="340">
        <f>SUM(D5:D14)</f>
        <v>20004010</v>
      </c>
      <c r="E15" s="460">
        <f t="shared" si="0"/>
        <v>159.93356092646928</v>
      </c>
      <c r="F15" s="341">
        <f t="shared" si="1"/>
        <v>100</v>
      </c>
      <c r="H15" s="1"/>
    </row>
    <row r="16" spans="3:6" ht="13.5" thickTop="1">
      <c r="C16" s="1"/>
      <c r="D16" s="1"/>
      <c r="E16" s="1"/>
      <c r="F16" s="1"/>
    </row>
    <row r="17" spans="1:2" ht="17.25" customHeight="1" thickBot="1">
      <c r="A17" s="571" t="s">
        <v>394</v>
      </c>
      <c r="B17" s="571"/>
    </row>
    <row r="18" spans="1:6" ht="67.5" customHeight="1" thickTop="1">
      <c r="A18" s="342" t="s">
        <v>215</v>
      </c>
      <c r="B18" s="327" t="s">
        <v>389</v>
      </c>
      <c r="C18" s="335" t="s">
        <v>465</v>
      </c>
      <c r="D18" s="335" t="s">
        <v>548</v>
      </c>
      <c r="E18" s="335" t="s">
        <v>110</v>
      </c>
      <c r="F18" s="287" t="s">
        <v>115</v>
      </c>
    </row>
    <row r="19" spans="1:6" ht="14.25" customHeight="1" thickBot="1">
      <c r="A19" s="131">
        <v>1</v>
      </c>
      <c r="B19" s="132">
        <v>2</v>
      </c>
      <c r="C19" s="129" t="s">
        <v>434</v>
      </c>
      <c r="D19" s="129" t="s">
        <v>550</v>
      </c>
      <c r="E19" s="129" t="s">
        <v>546</v>
      </c>
      <c r="F19" s="130">
        <v>6</v>
      </c>
    </row>
    <row r="20" spans="1:6" ht="12.75">
      <c r="A20" s="343" t="s">
        <v>390</v>
      </c>
      <c r="B20" s="344" t="s">
        <v>391</v>
      </c>
      <c r="C20" s="345">
        <f>C15-C21</f>
        <v>10272790</v>
      </c>
      <c r="D20" s="345">
        <f>D15-D21</f>
        <v>17710300</v>
      </c>
      <c r="E20" s="345">
        <f>D20/C20*100</f>
        <v>172.40009773391648</v>
      </c>
      <c r="F20" s="346">
        <f>D20/$D$22*100</f>
        <v>88.53374898332885</v>
      </c>
    </row>
    <row r="21" spans="1:7" ht="13.5" thickBot="1">
      <c r="A21" s="347" t="s">
        <v>392</v>
      </c>
      <c r="B21" s="348" t="s">
        <v>393</v>
      </c>
      <c r="C21" s="303">
        <f>SUM(SUMIF(Org!$A$10:Org!$A$586,"0734",Org!E$10:Org!E$586),SUMIF(Org!$A$10:Org!$A$586,"0740",Org!E$10:Org!E$586),SUMIF(Org!$A$10:Org!$A$586,"0810",Org!E$10:Org!E$586),SUMIF(Org!$A$10:Org!$A$586,"0820",Org!E$10:Org!E$586),SUMIF(Org!$A$10:Org!$A$586,"0911",Org!E$10:Org!E$586),SUMIF(Org!$A$10:Org!$A$586,"0912",Org!E$10:Org!E$586),SUMIF(Org!$A$10:Org!$A$586,"0921",Org!E$10:Org!E$586),SUMIF(Org!$A$10:Org!$A$586,"0922",Org!E$10:Org!E$586),SUMIF(Org!$A$10:Org!$A$586,"0941",Org!E$10:Org!E$586),SUMIF(Org!$A$10:Org!$A$586,"1011",Org!E$10:Org!E$586),SUMIF(Org!$A$10:Org!$A$586,"1020",Org!E$10:Org!E$586),SUMIF(Org!$A$10:Org!$A$586,"1040",Org!E$10:Org!E$586))-'B.pr. i prim. za nef. im.'!D115</f>
        <v>2234910</v>
      </c>
      <c r="D21" s="303">
        <f>SUM(SUMIF(Org!$A$10:Org!$A$586,"0734",Org!F$10:Org!F$586),SUMIF(Org!$A$10:Org!$A$586,"0740",Org!F$10:Org!F$586),SUMIF(Org!$A$10:Org!$A$586,"0810",Org!F$10:Org!F$586),SUMIF(Org!$A$10:Org!$A$586,"0820",Org!F$10:Org!F$586),SUMIF(Org!$A$10:Org!$A$586,"0911",Org!F$10:Org!F$586),SUMIF(Org!$A$10:Org!$A$586,"0912",Org!F$10:Org!F$586),SUMIF(Org!$A$10:Org!$A$586,"0921",Org!F$10:Org!F$586),SUMIF(Org!$A$10:Org!$A$586,"0922",Org!F$10:Org!F$586),SUMIF(Org!$A$10:Org!$A$586,"0941",Org!F$10:Org!F$586),SUMIF(Org!$A$10:Org!$A$586,"1011",Org!F$10:Org!F$586),SUMIF(Org!$A$10:Org!$A$586,"1020",Org!F$10:Org!F$586),SUMIF(Org!$A$10:Org!$A$586,"1040",Org!F$10:Org!F$586))-'B.pr. i prim. za nef. im.'!E115</f>
        <v>2293710</v>
      </c>
      <c r="E21" s="349">
        <f>D21/C21*100</f>
        <v>102.63097842866156</v>
      </c>
      <c r="F21" s="350">
        <f>D21/$D$22*100</f>
        <v>11.466251016671157</v>
      </c>
      <c r="G21" s="1"/>
    </row>
    <row r="22" spans="1:6" ht="20.25" customHeight="1" thickBot="1">
      <c r="A22" s="338"/>
      <c r="B22" s="339" t="s">
        <v>339</v>
      </c>
      <c r="C22" s="351">
        <f>SUM(C20:C21)</f>
        <v>12507700</v>
      </c>
      <c r="D22" s="351">
        <f>SUM(D20:D21)</f>
        <v>20004010</v>
      </c>
      <c r="E22" s="351">
        <f>D22/C22*100</f>
        <v>159.93356092646928</v>
      </c>
      <c r="F22" s="352">
        <f>D22/$D$22*100</f>
        <v>100</v>
      </c>
    </row>
    <row r="23" spans="1:6" ht="13.5" thickTop="1">
      <c r="A23" s="30"/>
      <c r="B23" s="30"/>
      <c r="C23" s="30"/>
      <c r="D23" s="30"/>
      <c r="E23" s="30"/>
      <c r="F23" s="30"/>
    </row>
    <row r="24" spans="1:6" ht="12.75">
      <c r="A24" s="30"/>
      <c r="B24" s="37"/>
      <c r="C24" s="51"/>
      <c r="D24" s="51"/>
      <c r="E24" s="30"/>
      <c r="F24" s="30"/>
    </row>
    <row r="25" spans="1:6" ht="12.75">
      <c r="A25" s="30"/>
      <c r="B25" s="37"/>
      <c r="C25" s="51"/>
      <c r="D25" s="51"/>
      <c r="E25" s="51"/>
      <c r="F25" s="30"/>
    </row>
    <row r="26" spans="1:6" ht="12.75">
      <c r="A26" s="30"/>
      <c r="B26" s="41"/>
      <c r="C26" s="51"/>
      <c r="D26" s="51"/>
      <c r="E26" s="51"/>
      <c r="F26" s="30"/>
    </row>
    <row r="27" spans="1:6" ht="12.75">
      <c r="A27" s="30"/>
      <c r="B27" s="37"/>
      <c r="C27" s="37"/>
      <c r="D27" s="37"/>
      <c r="E27" s="37"/>
      <c r="F27" s="30"/>
    </row>
    <row r="28" spans="2:4" ht="12.75">
      <c r="B28" s="52"/>
      <c r="C28" s="55"/>
      <c r="D28" s="55"/>
    </row>
    <row r="29" spans="2:4" ht="12.75">
      <c r="B29" s="50"/>
      <c r="C29" s="20"/>
      <c r="D29" s="20"/>
    </row>
    <row r="30" ht="12.75">
      <c r="D30" s="1"/>
    </row>
    <row r="31" spans="2:4" ht="12.75">
      <c r="B31" s="41"/>
      <c r="C31" s="1"/>
      <c r="D31" s="1"/>
    </row>
    <row r="32" spans="2:4" ht="12.75">
      <c r="B32" s="41"/>
      <c r="C32" s="1"/>
      <c r="D32" s="1"/>
    </row>
  </sheetData>
  <sheetProtection/>
  <mergeCells count="3">
    <mergeCell ref="A1:F1"/>
    <mergeCell ref="A2:B2"/>
    <mergeCell ref="A17:B17"/>
  </mergeCells>
  <printOptions horizontalCentered="1"/>
  <pageMargins left="0.15748031496062992" right="0.15748031496062992" top="0.5511811023622047" bottom="0.5118110236220472" header="0.5118110236220472" footer="0.31496062992125984"/>
  <pageSetup horizontalDpi="600" verticalDpi="600" orientation="landscape" paperSize="9" scale="118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User</cp:lastModifiedBy>
  <cp:lastPrinted>2021-12-10T07:24:53Z</cp:lastPrinted>
  <dcterms:created xsi:type="dcterms:W3CDTF">2006-03-15T13:27:57Z</dcterms:created>
  <dcterms:modified xsi:type="dcterms:W3CDTF">2021-12-22T07:05:41Z</dcterms:modified>
  <cp:category/>
  <cp:version/>
  <cp:contentType/>
  <cp:contentStatus/>
</cp:coreProperties>
</file>