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Area" localSheetId="2">'B.pr. i prim. za nef. im.'!$A$1:$H$96</definedName>
    <definedName name="_xlnm.Print_Area" localSheetId="3">'B.rash. i izdaci za nef. im.'!$A$1:$G$53</definedName>
    <definedName name="_xlnm.Print_Area" localSheetId="4">'Finansiranje'!$A$1:$E$45</definedName>
    <definedName name="_xlnm.Print_Area" localSheetId="6">'Funkc. kl.'!$A$1:$G$22</definedName>
    <definedName name="_xlnm.Print_Area" localSheetId="1">'opsti dio'!$A$1:$L$74</definedName>
    <definedName name="_xlnm.Print_Area" localSheetId="5">'Org'!$A$1:$I$534</definedName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</definedNames>
  <calcPr fullCalcOnLoad="1"/>
</workbook>
</file>

<file path=xl/sharedStrings.xml><?xml version="1.0" encoding="utf-8"?>
<sst xmlns="http://schemas.openxmlformats.org/spreadsheetml/2006/main" count="1175" uniqueCount="598">
  <si>
    <t>Трошкови репрезентације</t>
  </si>
  <si>
    <t>Помоћи појединцима</t>
  </si>
  <si>
    <t>Набавка опреме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</si>
  <si>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</si>
  <si>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</si>
  <si>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</si>
  <si>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</si>
  <si>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</si>
  <si>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</si>
  <si>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добитке од игара на срећу</t>
  </si>
  <si>
    <t>Приходи од земљишне ренте</t>
  </si>
  <si>
    <t>Административне таксе</t>
  </si>
  <si>
    <t>Општинске административне таксе</t>
  </si>
  <si>
    <t>Комуналне таксе</t>
  </si>
  <si>
    <t>Комуналне таксе за приређивање музичког програма у угоститељским објектима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</si>
  <si>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</si>
  <si>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</si>
  <si>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</si>
  <si>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</si>
  <si>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>Приходи од пружања јавних услуга</t>
  </si>
  <si>
    <t xml:space="preserve">Новчане казне </t>
  </si>
  <si>
    <t>Остали непорески приходи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</si>
  <si>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</si>
  <si>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</si>
  <si>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</si>
  <si>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</si>
  <si>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</si>
  <si>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</si>
  <si>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</si>
  <si>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</si>
  <si>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</si>
  <si>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</si>
  <si>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</si>
  <si>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</si>
  <si>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0830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</si>
  <si>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</si>
  <si>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</si>
  <si>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</si>
  <si>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</si>
  <si>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</si>
  <si>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</si>
  <si>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</si>
  <si>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</si>
  <si>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</si>
  <si>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</si>
  <si>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</si>
  <si>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</si>
  <si>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</si>
  <si>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</si>
  <si>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</si>
  <si>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</si>
  <si>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</si>
  <si>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</si>
  <si>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</si>
  <si>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</si>
  <si>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</si>
  <si>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</si>
  <si>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Набавка грађевинских објеката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</si>
  <si>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</si>
  <si>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</si>
  <si>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</si>
  <si>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</si>
  <si>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</si>
  <si>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</si>
  <si>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</si>
  <si>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</si>
  <si>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</si>
  <si>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</si>
  <si>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</si>
  <si>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</si>
  <si>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</si>
  <si>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</si>
  <si>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</si>
  <si>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</si>
  <si>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</si>
  <si>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</si>
  <si>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</si>
  <si>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</si>
  <si>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</si>
  <si>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</si>
  <si>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</si>
  <si>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</si>
  <si>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</si>
  <si>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</si>
  <si>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</si>
  <si>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</si>
  <si>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</si>
  <si>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</si>
  <si>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</si>
  <si>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</si>
  <si>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</si>
  <si>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</si>
  <si>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</si>
  <si>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ЈЗУ Дом здравља</t>
  </si>
  <si>
    <t>ЈП " Радио Прњавор "</t>
  </si>
  <si>
    <t>Удружење пензионера</t>
  </si>
  <si>
    <t>Накнаде одборника и чланова скупштинских комисија</t>
  </si>
  <si>
    <t>Чланарина у Савезу општина и градова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</si>
  <si>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</si>
  <si>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</si>
  <si>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</si>
  <si>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</si>
  <si>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</si>
  <si>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Зимско одржавање лок. путева, улица, тротоара, тргова и др.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</si>
  <si>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</si>
  <si>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</si>
  <si>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</si>
  <si>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</si>
  <si>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</si>
  <si>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</si>
  <si>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</si>
  <si>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</si>
  <si>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</si>
  <si>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</si>
  <si>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 xml:space="preserve">% учешћа 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</si>
  <si>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општу управу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00750130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</si>
  <si>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финансије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00750140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</si>
  <si>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локални економски развој и
друштвене дјелатности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00750150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</si>
  <si>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просторно уређење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00750160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</si>
  <si>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стамбено- комуналне 
послове и инвестиције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00750170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</si>
  <si>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инспекцијске послове</t>
    </r>
    <r>
      <rPr>
        <sz val="9"/>
        <rFont val="Arial"/>
        <family val="2"/>
      </rPr>
      <t xml:space="preserve">
 </t>
    </r>
    <r>
      <rPr>
        <b/>
        <sz val="9"/>
        <rFont val="Arial"/>
        <family val="2"/>
      </rPr>
      <t xml:space="preserve">  Број: 00750220</t>
    </r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</si>
  <si>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</si>
  <si>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</si>
  <si>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Трошкови електричне енергије за јавну расвјету
(у граду и мјесним заједницама)</t>
  </si>
  <si>
    <t>Средства за мјере превентивне здравствене заштите животиња</t>
  </si>
  <si>
    <t>% 
учешћа</t>
  </si>
  <si>
    <t>Камата на  кредит од 5.000.000,00 КМ</t>
  </si>
  <si>
    <t>Камата на кредит од 4.000.000,00 КМ</t>
  </si>
  <si>
    <t>Камата на  кредит од 500.000,00 КМ</t>
  </si>
  <si>
    <t>Камата на кредит од 3.000.000,00 КМ (ИРБ)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</si>
  <si>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</si>
  <si>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</si>
  <si>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</si>
  <si>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</si>
  <si>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</si>
  <si>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</si>
  <si>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</si>
  <si>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</si>
  <si>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</si>
  <si>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</si>
  <si>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</si>
  <si>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</si>
  <si>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</si>
  <si>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</si>
  <si>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</si>
  <si>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</si>
  <si>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</si>
  <si>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</si>
  <si>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</si>
  <si>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</si>
  <si>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Дознаке грађанима које се исплаћују из буџета Републике, општина и градова</t>
  </si>
  <si>
    <t>Дознаке пружаоцима услуга социјалне заштите које се исплаћују из буџета Републике, општина и градова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</si>
  <si>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</si>
  <si>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</si>
  <si>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</si>
  <si>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</si>
  <si>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</si>
  <si>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Дознаке на име социјалне заштите које се исплаћују из буџета  општине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</si>
  <si>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</si>
  <si>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</si>
  <si>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</si>
  <si>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</si>
  <si>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</si>
  <si>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Инвестиционо  одржавање, реконструкција и адаптација зграда и објеката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</si>
  <si>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</si>
  <si>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</si>
  <si>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</si>
  <si>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</si>
  <si>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</si>
  <si>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</si>
  <si>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</si>
  <si>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</si>
  <si>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</si>
  <si>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</si>
  <si>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</si>
  <si>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</si>
  <si>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</si>
  <si>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</si>
  <si>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</si>
  <si>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</si>
  <si>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</si>
  <si>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</si>
  <si>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</si>
  <si>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</si>
  <si>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</si>
  <si>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</si>
  <si>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</si>
  <si>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Набавка грађевинског материјала за изградњу пропуста, мостова и других објеката</t>
  </si>
  <si>
    <t>Расходи поводом манифестација за празничне дане општине</t>
  </si>
  <si>
    <t>Субвенције</t>
  </si>
  <si>
    <t>Једнократне помоћи за треће и свако сљедеће новорођено дијете</t>
  </si>
  <si>
    <t>Подстицаји пољопривредним произвођачима</t>
  </si>
  <si>
    <r>
      <t>Назив и број потрошачке јединице:</t>
    </r>
    <r>
      <rPr>
        <b/>
        <sz val="9"/>
        <rFont val="Arial"/>
        <family val="2"/>
      </rPr>
      <t xml:space="preserve">
Трезор општине Прњавор број:  9999999</t>
    </r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</si>
  <si>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</si>
  <si>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</si>
  <si>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</si>
  <si>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</si>
  <si>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</si>
  <si>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</si>
  <si>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</si>
  <si>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Трошкови ископа, чишћења канала и других земљаних радова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</si>
  <si>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</si>
  <si>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</si>
  <si>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</si>
  <si>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Примици од продаје пословних простора и гаража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</si>
  <si>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</si>
  <si>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</si>
  <si>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Средства за пројекат "Дневна брига за старе"</t>
  </si>
  <si>
    <t>Помоћ пројектима за одржив повратак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</si>
  <si>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</si>
  <si>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</si>
  <si>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</si>
  <si>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</si>
  <si>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</si>
  <si>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</si>
  <si>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Борачка организација општине Прњавор</t>
  </si>
  <si>
    <t>Удружење РВИ општине Прњавор</t>
  </si>
  <si>
    <t>ОО породица заробљених и погинулих бораца и несталих цивила Прњавор</t>
  </si>
  <si>
    <t>Удружење СУБНОР-а</t>
  </si>
  <si>
    <t xml:space="preserve"> </t>
  </si>
  <si>
    <t>Средства за превоз ђака основних школа</t>
  </si>
  <si>
    <t>Фун. код</t>
  </si>
  <si>
    <t>О П И С</t>
  </si>
  <si>
    <t>Плакете, повеље, награде и признања општине</t>
  </si>
  <si>
    <t>Трошкови чишћења улица, тротоара и зелeних површина са одвозом прикупљеног отпада, трошкови прања улица и тротоара, кошења зелених површина са одвозом покошене траве, шишања живих ограда са одвозом прикупљеног отпада и ванредни комунални послови по наруџби (сјечење растиња, одржавање дрвореда и сл.)</t>
  </si>
  <si>
    <t>Остали комунални послови по наруџби (саднице,  канали, уређење зелених површина, објекти на путу, чишћење сливника, одржавање јавних извора и др.)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</si>
  <si>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пољопривреду, 
водопривреду и шумарство
Број: 00750250</t>
    </r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</si>
  <si>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</si>
  <si>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</si>
  <si>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</si>
  <si>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</si>
  <si>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Финансирање Општинске изборне комисије</t>
  </si>
  <si>
    <r>
      <t xml:space="preserve">Назив и број потрошачке јединице:
</t>
    </r>
    <r>
      <rPr>
        <b/>
        <sz val="9"/>
        <rFont val="Arial"/>
        <family val="2"/>
      </rPr>
      <t>Скупштина општине и стручна служба СО-е
Број: 00750110</t>
    </r>
  </si>
  <si>
    <r>
      <t xml:space="preserve">Назив и број потрошачке јединице:
</t>
    </r>
    <r>
      <rPr>
        <b/>
        <sz val="9"/>
        <rFont val="Arial"/>
        <family val="2"/>
      </rPr>
      <t>Кабинет начелника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00750120</t>
    </r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</si>
  <si>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</si>
  <si>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</si>
  <si>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Трошкови камате за робни кредит Краљевине Шпаније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</si>
  <si>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</si>
  <si>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</si>
  <si>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</si>
  <si>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</si>
  <si>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</si>
  <si>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</si>
  <si>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</si>
  <si>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</si>
  <si>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</si>
  <si>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</si>
  <si>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Новчане казне изречене у прекршајном поступку за прекршаје прописане актом СО-е 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</si>
  <si>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</si>
  <si>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</si>
  <si>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</si>
  <si>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</si>
  <si>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</si>
  <si>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</si>
  <si>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Комунална такса за коришћење простора за паркирање моторних, друмских и прикључних возила на уређеним и обиљеженим мјестима која је за то одредила скупштина општине</t>
  </si>
  <si>
    <t>Издаци за прибављање земљишта (потпуна експропријација)</t>
  </si>
  <si>
    <r>
      <t xml:space="preserve">Средства за једнократне помоћи - </t>
    </r>
    <r>
      <rPr>
        <b/>
        <sz val="9"/>
        <rFont val="Arial"/>
        <family val="2"/>
      </rPr>
      <t>буџетска резерва</t>
    </r>
  </si>
  <si>
    <r>
      <t xml:space="preserve">ЈП " Радио Прњавор " - </t>
    </r>
    <r>
      <rPr>
        <b/>
        <sz val="9"/>
        <rFont val="Arial"/>
        <family val="2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</si>
  <si>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9"/>
        <rFont val="Arial"/>
        <family val="2"/>
      </rPr>
      <t>буџетска резерва</t>
    </r>
  </si>
  <si>
    <r>
      <t xml:space="preserve">Помоћ удружењима националних мањина - </t>
    </r>
    <r>
      <rPr>
        <b/>
        <sz val="9"/>
        <rFont val="Arial"/>
        <family val="2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</si>
  <si>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9"/>
        <rFont val="Arial"/>
        <family val="2"/>
      </rPr>
      <t>буџетска резерва</t>
    </r>
  </si>
  <si>
    <r>
      <t xml:space="preserve">Помоћ основним школама - </t>
    </r>
    <r>
      <rPr>
        <b/>
        <sz val="9"/>
        <rFont val="Arial"/>
        <family val="2"/>
      </rPr>
      <t>буџетска резерва</t>
    </r>
  </si>
  <si>
    <t>Приходи од давања у закуп општинских пословних простора</t>
  </si>
  <si>
    <t>Трошкови закупнине паркинг простора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</si>
  <si>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</si>
  <si>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</si>
  <si>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</si>
  <si>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средњих школа "Иво Андрић" Прњавор
Број: 08150027</t>
    </r>
  </si>
  <si>
    <t>Камата на кредит од 2.500.000,00 КМ</t>
  </si>
  <si>
    <t>ЈУ Центар средњих школа "Иво Андрић" Прњавор</t>
  </si>
  <si>
    <t>Средства за набавку уџбеника и за остале организоване активности за дјецу бораца ВРС и РВИ</t>
  </si>
  <si>
    <t>Поклон пакети за дјецу нижег узраста</t>
  </si>
  <si>
    <t>Једнократне новчане помоћи појединцима из борачке популације</t>
  </si>
  <si>
    <t>ЈУ Гимназија Прњавор</t>
  </si>
  <si>
    <t>Средства за подстицај и развој спорта</t>
  </si>
  <si>
    <r>
      <t xml:space="preserve">Средства за подстицај и развој спорта - </t>
    </r>
    <r>
      <rPr>
        <b/>
        <sz val="9"/>
        <rFont val="Arial"/>
        <family val="2"/>
      </rPr>
      <t>буџетска резерва</t>
    </r>
  </si>
  <si>
    <t>Трошкови одржавања јавне расвјете
(у граду и мјесним заједницама)</t>
  </si>
  <si>
    <t>Средства за  спомен собу посвећену одбрамбено-отаџбинском рату РС 1991-1995. године</t>
  </si>
  <si>
    <t>Издаци за залихе ситног инвентара, ауто-гума, одјеће, обуће и сл.</t>
  </si>
  <si>
    <t>Трошкови одржавања локалне путне мреже (уређење путног појаса, ископи, бетонски, армирано-бетонски и асфалтни радови)</t>
  </si>
  <si>
    <r>
      <t>Назив и број потрошачке јединице:</t>
    </r>
    <r>
      <rPr>
        <b/>
        <sz val="9"/>
        <rFont val="Arial"/>
        <family val="2"/>
      </rPr>
      <t xml:space="preserve">
Остала буџетска потрошња 
Број:  00750190</t>
    </r>
  </si>
  <si>
    <t>Мјере за побољшање демографске ситуације (вантјелесна оплодња и сл.)</t>
  </si>
  <si>
    <t>Изградња водопривредних објеката-брана, мостова, воденица и сл. из намјенских средстава  за воде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</si>
  <si>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</si>
  <si>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</si>
  <si>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</si>
  <si>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</si>
  <si>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</si>
  <si>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</si>
  <si>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</si>
  <si>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</si>
  <si>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</si>
  <si>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</si>
  <si>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</si>
  <si>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</si>
  <si>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</si>
  <si>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</si>
  <si>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</si>
  <si>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</si>
  <si>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</si>
  <si>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</si>
  <si>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</si>
  <si>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</si>
  <si>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r>
      <t xml:space="preserve">Назив и број потрошачке јединице:
</t>
    </r>
    <r>
      <rPr>
        <b/>
        <sz val="9"/>
        <rFont val="Arial"/>
        <family val="2"/>
      </rPr>
      <t xml:space="preserve">Територијална ватрогасна јединица Прњавор
Број: 00750125 </t>
    </r>
  </si>
  <si>
    <t>Расходи за лична примања запослених у Општинској управи</t>
  </si>
  <si>
    <t>Расходи за стручно усавршавање запослених Општинске управе</t>
  </si>
  <si>
    <t>Расходи за стручне услуге Општинске управе</t>
  </si>
  <si>
    <t>Укупни расходи за потрошачку
 јединицу бр.  00750125</t>
  </si>
  <si>
    <t>****</t>
  </si>
  <si>
    <r>
      <rPr>
        <sz val="9"/>
        <rFont val="Arial"/>
        <family val="2"/>
      </rPr>
      <t>Назив и број потрошачке јединице:</t>
    </r>
    <r>
      <rPr>
        <b/>
        <sz val="9"/>
        <rFont val="Arial"/>
        <family val="2"/>
      </rPr>
      <t xml:space="preserve">
ЈУ Народна библиотека Прњавор
Број: 08180068</t>
    </r>
  </si>
  <si>
    <t>Укупни расходи за потрошачку 
јединицу бр. 08180068</t>
  </si>
  <si>
    <t>Уређење корита ријека и потока из намјенских средстава за воде</t>
  </si>
  <si>
    <t>Средства за обуку структура заштите и спасавања</t>
  </si>
  <si>
    <t>Набавка опреме - цивилна заштита</t>
  </si>
  <si>
    <r>
      <t xml:space="preserve">Расходи за стручне услуге (извршење рјешења, 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мониторинг загађујућих материја у животној средини)</t>
    </r>
  </si>
  <si>
    <t xml:space="preserve">Средства за имплементацију и суфинансирање пројеката предвиђених Стратегијом развоја општине Прњавор 2012-2020. година 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</si>
  <si>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</si>
  <si>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</si>
  <si>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</si>
  <si>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</si>
  <si>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r>
      <t xml:space="preserve">Борачка организација општине Прњавор - </t>
    </r>
    <r>
      <rPr>
        <b/>
        <sz val="9"/>
        <rFont val="Arial"/>
        <family val="2"/>
      </rPr>
      <t>буџетска резерва</t>
    </r>
  </si>
  <si>
    <r>
      <t xml:space="preserve">Расходи за стручне услуге Центра за културу - </t>
    </r>
    <r>
      <rPr>
        <b/>
        <sz val="9"/>
        <rFont val="Arial"/>
        <family val="2"/>
      </rPr>
      <t>буџетска резерва</t>
    </r>
  </si>
  <si>
    <t>Издаци за залихе материјала, робе и ситног инвентара, 
амбалаже и сл.</t>
  </si>
  <si>
    <t>Концесионе накнаде за коришћење природних и других добара од општег интереса</t>
  </si>
  <si>
    <t>Накнада за уређивање грађевинског земљишта</t>
  </si>
  <si>
    <t>Накнада за коришћење шума и шумског земљишта - средства за развој неразвијених дијелова општине остварена продајом шумских сортимената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</si>
  <si>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</si>
  <si>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</si>
  <si>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</si>
  <si>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t>Издаци за залихе материјала, робе и ситног инвентара</t>
  </si>
  <si>
    <t>Издаци за залихе ситног инвентара, одјеће и обуће</t>
  </si>
  <si>
    <t>Средства за обављање послова из области цивилне заштите</t>
  </si>
  <si>
    <t>0422</t>
  </si>
  <si>
    <t xml:space="preserve">Грантови добровољним ватрогасним друштвима општине Прњавор 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</si>
  <si>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</si>
  <si>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Уређење нове локације за бувљу пијацу</t>
  </si>
  <si>
    <t>Плакете, повеље, награде и признања Начелника општине</t>
  </si>
  <si>
    <t>Израда шумскопривредног основа</t>
  </si>
  <si>
    <t>*******</t>
  </si>
  <si>
    <t>Примици од зајмова узетих од банака</t>
  </si>
  <si>
    <t>Инвестиционо одржавање опреме</t>
  </si>
  <si>
    <t>Издаци за отплату осталих дугова</t>
  </si>
  <si>
    <t>Текући грантови из земље</t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</si>
  <si>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Гимназија Прњавор
Број: 08150026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</si>
  <si>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</si>
  <si>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9"/>
        <rFont val="Arial"/>
        <family val="2"/>
      </rPr>
      <t>ЈУ Центар за културу Прњавор
Број: 08180011</t>
    </r>
  </si>
  <si>
    <r>
      <t xml:space="preserve">Назив и број потрошачке јединице:
</t>
    </r>
    <r>
      <rPr>
        <b/>
        <sz val="9"/>
        <rFont val="Arial"/>
        <family val="2"/>
      </rPr>
      <t>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Дјечији вртић " Наша радост" Прњавор
Број: 00750400</t>
    </r>
  </si>
  <si>
    <t>Борачка организација општине Прњавор - финансирање обавеза из ранијег периода</t>
  </si>
  <si>
    <t>Издаци за залихе материјала, робе и ситног инвентара, амбалаже и сл.</t>
  </si>
  <si>
    <r>
      <t xml:space="preserve">Финансирање Црвеног крста - </t>
    </r>
    <r>
      <rPr>
        <b/>
        <sz val="9"/>
        <rFont val="Arial"/>
        <family val="2"/>
      </rPr>
      <t>буџетска резерва</t>
    </r>
  </si>
  <si>
    <r>
      <t xml:space="preserve">Средства за пројекат "Дневни центар за дјецу и омладину ометену у физичком и психичком развоју" Прњавор - </t>
    </r>
    <r>
      <rPr>
        <b/>
        <sz val="9"/>
        <rFont val="Arial"/>
        <family val="2"/>
      </rPr>
      <t>буџетска резерва</t>
    </r>
  </si>
  <si>
    <t>Трошкови сервисирања зајмова примљених у земљи</t>
  </si>
  <si>
    <t>Капиталне инвестиције из домаћих прихода</t>
  </si>
  <si>
    <t>Капиталне инвестиције из кредитних средстава</t>
  </si>
  <si>
    <t>4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</si>
  <si>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</si>
  <si>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</si>
  <si>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</si>
  <si>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Камата на кредит од 300.000,00 КМ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</si>
  <si>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</si>
  <si>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</si>
  <si>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</si>
  <si>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r>
      <t xml:space="preserve">Трошкови репрезентације- </t>
    </r>
    <r>
      <rPr>
        <b/>
        <sz val="9"/>
        <rFont val="Arial"/>
        <family val="2"/>
      </rPr>
      <t>буџетска резерва</t>
    </r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</si>
  <si>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</si>
  <si>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</si>
  <si>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</si>
  <si>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</si>
  <si>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</si>
  <si>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</si>
  <si>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</si>
  <si>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</si>
  <si>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</si>
  <si>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</si>
  <si>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</si>
  <si>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</si>
  <si>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</si>
  <si>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</si>
  <si>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</si>
  <si>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</si>
  <si>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Трансфери између  различитих јединица 
власти</t>
  </si>
  <si>
    <t>Расходи за бруто плате запослених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</si>
  <si>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</si>
  <si>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</si>
  <si>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</si>
  <si>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</si>
  <si>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</si>
  <si>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</si>
  <si>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</si>
  <si>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</si>
  <si>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</si>
  <si>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</si>
  <si>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</si>
  <si>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</si>
  <si>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ФИНАНСИРАЊЕ (А+Б+В+Г)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</si>
  <si>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</si>
  <si>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</si>
  <si>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</si>
  <si>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</si>
  <si>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Расходи по основу путовања и смјештаја Општинске управе</t>
  </si>
  <si>
    <t>Порези на имовину - порез на непокретности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</si>
  <si>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</si>
  <si>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</si>
  <si>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</si>
  <si>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Финансирање Кола српских сестара Прњавор</t>
  </si>
  <si>
    <t>Финансирање СРД "Укрински цвијет" Прњавор</t>
  </si>
  <si>
    <t>Финансирање Општинске организације слијепих  Прњавор</t>
  </si>
  <si>
    <t>0860</t>
  </si>
  <si>
    <t xml:space="preserve">Удружење грађана  "Ветерани Републике Српске" </t>
  </si>
  <si>
    <t>Посебна републичка такса на нафтне деривате</t>
  </si>
  <si>
    <t>Финансирање дијела трошкова изборне кампање политичких субјеката</t>
  </si>
  <si>
    <t>Остали непоменути расходи - припрема дјеце за полазак у школу из дозначене помоћи Министарства просвјете и културе РС</t>
  </si>
  <si>
    <r>
      <t xml:space="preserve">Плакете, повеље, награде и признања Начелника општине - </t>
    </r>
    <r>
      <rPr>
        <b/>
        <sz val="9"/>
        <rFont val="Arial"/>
        <family val="2"/>
      </rPr>
      <t>буџетска резерва</t>
    </r>
  </si>
  <si>
    <r>
      <t xml:space="preserve">Набавка опреме - </t>
    </r>
    <r>
      <rPr>
        <b/>
        <sz val="9"/>
        <rFont val="Arial"/>
        <family val="2"/>
      </rPr>
      <t>буџетска резерва</t>
    </r>
  </si>
  <si>
    <t>Расходи по основу судских рјешења</t>
  </si>
  <si>
    <t>Трансфери јединицама локалне самоуправе</t>
  </si>
  <si>
    <t>Отплата дуга по кредиту од 5.000.000,00 КМ</t>
  </si>
  <si>
    <t>Отплата дуга по кредиту Краљевине Шпаније</t>
  </si>
  <si>
    <t>Остали издаци из трансакција са другим јединицама власти</t>
  </si>
  <si>
    <t>Трансфери ентитету</t>
  </si>
  <si>
    <t xml:space="preserve">Остали издаци из трансакција између или унутар јединица власти </t>
  </si>
  <si>
    <r>
      <t xml:space="preserve">Назив и број потрошачке јединице:
</t>
    </r>
    <r>
      <rPr>
        <b/>
        <sz val="9"/>
        <rFont val="Arial"/>
        <family val="2"/>
      </rPr>
      <t>ЈУ Музичка школа "Константин Бабић " Прњавор
Број: 08400005</t>
    </r>
  </si>
  <si>
    <t>411000</t>
  </si>
  <si>
    <t>412000</t>
  </si>
  <si>
    <t>Укупни расходи за потрошачку
 јединицу бр.  08400005</t>
  </si>
  <si>
    <r>
      <t xml:space="preserve">Удружење пензионера - </t>
    </r>
    <r>
      <rPr>
        <b/>
        <sz val="9"/>
        <rFont val="Arial"/>
        <family val="2"/>
      </rPr>
      <t>буџетска резерва</t>
    </r>
  </si>
  <si>
    <t>ЈУ Музичка школа "Константин Бабић" Прњавор</t>
  </si>
  <si>
    <t>Остали примици из трансакција између или унутар јединица власти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</si>
  <si>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</si>
  <si>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Остали издаци (рефундација прихода по основу књижних обавјештења добијених од Пореске управе)</t>
  </si>
  <si>
    <t>Остали издаци ( поврат/прекњижавање прихода наплаћених у претходној или ранијим годинама)</t>
  </si>
  <si>
    <t>Остали издаци (поврат/прекњижавање прихода наплаћених у претходној или ранијим годинама)</t>
  </si>
  <si>
    <t>Остали примици (наплата јавних прихода из претходне или ранијих година по  записницима Пореске управе)</t>
  </si>
  <si>
    <t>Трансфери од ентитета  (поравнање јавних прихода по записницима Пореске управе)</t>
  </si>
  <si>
    <t>419000</t>
  </si>
  <si>
    <t>513000</t>
  </si>
  <si>
    <t>Трошкови обештећења по судским  пресудама и трошкови поступка</t>
  </si>
  <si>
    <t>Трошкови непотпуне експропријације,  процјене, вјештачења, накнаде штета и слично</t>
  </si>
  <si>
    <t>Трошкови обраде кредитне документације за примљене зајмове (7.000.000,00 КМ)</t>
  </si>
  <si>
    <t>Трошкови интеркаларне камате на примљени зајам (7.000.000,00 КМ)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</si>
  <si>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</si>
  <si>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Обавезе између јединица власти по основу записника Пореске управе РС о обрачуну и поравнању више и погрешно уплаћених јавних прихода</t>
  </si>
  <si>
    <t>Камата на кредит од 7.000.000,00 КМ</t>
  </si>
  <si>
    <t>Отплата дуга по кредиту од 7.000,000,00 КМ</t>
  </si>
  <si>
    <t>714111-714311</t>
  </si>
  <si>
    <t>Трансфери од јединица локалнe самоуправe  (поравнање јавних прихода по записницима Пореске управе)</t>
  </si>
  <si>
    <t>Остали општински непорески приходи</t>
  </si>
  <si>
    <t>Приходи општинских органа управе</t>
  </si>
  <si>
    <t>ЈУ Центар за социјални рад Прњавор</t>
  </si>
  <si>
    <t>ЈУ Центар за културу Прњавор</t>
  </si>
  <si>
    <t>ЈУ Дјечији вртић "Наша радост" Прњавор</t>
  </si>
  <si>
    <t>ЈУ Народна библиотека Прњавор</t>
  </si>
  <si>
    <t>Грант Фонда за заштиту животне средине и енергетску ефикасност РС за Колектор отпадних и оборинских вода општине Прњавор</t>
  </si>
  <si>
    <t>Неутрошена намјенска средства из ранијих година од накнада за коришћење шума - средстава за развој неразвијених дијелова општине остварених продајом шумских сортимената</t>
  </si>
  <si>
    <t>Набавка опреме из донаторских средстава за пројекат "Предузећа за вјежбу"</t>
  </si>
  <si>
    <t>Грант Савјета родитеља ЈУ Дјечији вртић "Наша радост" за пројекат Укијева радионица (набавка дидактичког материјала)</t>
  </si>
  <si>
    <t>Грант Савјета родитеља ЈУ Дјечији вртић "Наша радост" за набавку посуђа за кухињу вртића</t>
  </si>
  <si>
    <t>Табела бр. 1</t>
  </si>
  <si>
    <t>Функција</t>
  </si>
  <si>
    <t>ЗУ</t>
  </si>
  <si>
    <t>Заједничке услуге</t>
  </si>
  <si>
    <t>ИУ</t>
  </si>
  <si>
    <t>Индивидуалне услуге</t>
  </si>
  <si>
    <t>Табела бр. 2</t>
  </si>
  <si>
    <t>Грант КП,,Водовод" АД - набавка опреме</t>
  </si>
  <si>
    <r>
      <t xml:space="preserve">Назив и број потрошачке јединице:
</t>
    </r>
    <r>
      <rPr>
        <b/>
        <sz val="9"/>
        <rFont val="Arial"/>
        <family val="2"/>
      </rPr>
      <t>Одсјек за заједничке послове
Број: 00750240</t>
    </r>
  </si>
  <si>
    <t>Расходи по основу организације, пријема, манифестација и остали расходи</t>
  </si>
  <si>
    <t>Трансфери од фондова обавезног социјалног осигурања (поравнање јавних прихода по записницима Пореске управе)</t>
  </si>
  <si>
    <t>Неутрошене примљене донације из ранијег периода од Ватрогасног савеза Републике Српске за унапређење заштите од пожара</t>
  </si>
  <si>
    <r>
      <t xml:space="preserve">Финансирање Кола српских сестара Прњавор - </t>
    </r>
    <r>
      <rPr>
        <b/>
        <sz val="9"/>
        <rFont val="Arial"/>
        <family val="2"/>
      </rPr>
      <t>буџетска резерва</t>
    </r>
  </si>
  <si>
    <t>Трансфер Фонду солидарности за дијагностику и лијечење обољења, стања и повреда дјеце у иностранству</t>
  </si>
  <si>
    <t>Расходи финансирања и други финансијски трошкови између јединица власти</t>
  </si>
  <si>
    <t>Издаци за отплату дугова из трансакција између или унутар јединица власти</t>
  </si>
  <si>
    <t>Издаци за отплату главнице зајмова примљених од других јединица власти</t>
  </si>
  <si>
    <t>Расходи по основу камата на зајмове примљене од других јединица власти</t>
  </si>
  <si>
    <t>Издаци за отплату дугова према другим јединицама власти</t>
  </si>
  <si>
    <t>Примици од задуживања</t>
  </si>
  <si>
    <t xml:space="preserve">Издаци за отплату дугова </t>
  </si>
  <si>
    <t>Трошкови одржавања локалне путне мреже (набавка, превоз и уградња посипног материјала, гредер)</t>
  </si>
  <si>
    <t>Подстицаји за запошљавање у привреди - МЕГ пројекат</t>
  </si>
  <si>
    <t>0412</t>
  </si>
  <si>
    <t>Средства за студентске награде - посебни резултати током школовања</t>
  </si>
  <si>
    <t>170-03 План капиталних улагања</t>
  </si>
  <si>
    <t>Изградња и реконструкција градских улица, локалних путева, јавне расвјете, водоводне мреже, школских и других објеката</t>
  </si>
  <si>
    <r>
      <t xml:space="preserve">Остали непоменути расходи - </t>
    </r>
    <r>
      <rPr>
        <b/>
        <sz val="9"/>
        <rFont val="Arial"/>
        <family val="2"/>
      </rPr>
      <t>буџетска резерва</t>
    </r>
  </si>
  <si>
    <t>Укупни расходи за потрошачку
 јединицу бр.  00750241</t>
  </si>
  <si>
    <t>Изградња споменика погинулим борцима у МЗ Кремна - средства Министарства рада и борачко-инвалидске заштите</t>
  </si>
  <si>
    <r>
      <t xml:space="preserve">Средства за студентске награде - посебни резултати током школовања - </t>
    </r>
    <r>
      <rPr>
        <b/>
        <sz val="9"/>
        <rFont val="Arial"/>
        <family val="2"/>
      </rPr>
      <t>буџетска резерва</t>
    </r>
  </si>
  <si>
    <t>Капитални грантови у земљи</t>
  </si>
  <si>
    <r>
      <t xml:space="preserve">Средства за остале трошкове обиљежавања значајних датума (за трошкове вијенаца, цвијећа, свијећа и др.) - </t>
    </r>
    <r>
      <rPr>
        <b/>
        <sz val="9"/>
        <rFont val="Arial"/>
        <family val="2"/>
      </rPr>
      <t>буџетска резерва</t>
    </r>
  </si>
  <si>
    <t>Буџет за 
2019. годину</t>
  </si>
  <si>
    <t>Накнаде за воде - посебне водне накнаде 
(722442-722448, 722457, 722463, 722464, 722465, 722469)</t>
  </si>
  <si>
    <t>Трошкови рада предсједника Савјета мјесних заједница</t>
  </si>
  <si>
    <t>Текуће одржавање путева на неразвијеним дијеловима општине</t>
  </si>
  <si>
    <t xml:space="preserve"> Изградња и реконструкција инфраструктуре и других објеката на неразвијеним дијеловима општине</t>
  </si>
  <si>
    <t>Расходи за накнаду плата запослених за вријеме боловања, родитељског одсуства и осталих накнада плата</t>
  </si>
  <si>
    <t>Субвенционисање трошкова комуналних водних услуга социјално угроженим корисницима на подручју општине Прњавор</t>
  </si>
  <si>
    <t>Расходи финансирања, други финансијски трошкови и расходи трансакција размјене између јединица власти</t>
  </si>
  <si>
    <t>Расходи из трансакције размјене између јединица власти</t>
  </si>
  <si>
    <t>1020</t>
  </si>
  <si>
    <t>Грантови из иностранства</t>
  </si>
  <si>
    <t>Трансфер Министарства просвјете и културе РС Дјечијем вртићу "Наша радост" за програм припреме дјеце за полазак у школу</t>
  </si>
  <si>
    <t>Грант Савјета Европе за пројекат "Промоција едукативних садржаја о националним мањинама у основношколском образовању"</t>
  </si>
  <si>
    <t>Изградња споменика погинулим борцима у МЗ Кремна из средстава Министарства рада и борачко-инвалидске заштите РС
(из пренесених ср. из пр. год.)</t>
  </si>
  <si>
    <t>Накнаде за личну инвалиднину из средстава Министарства здравља и социјалне заштите</t>
  </si>
  <si>
    <t>Инвестиционо одржавање стамбених објеката</t>
  </si>
  <si>
    <t>Неутрошена намјенска средства из 2017. године - грант Општине Центар Сарајево на име помоћи за одржив повратак (за ЛП у Коњуховцима)</t>
  </si>
  <si>
    <t>Неутрошена намјенска средства из 2017. године - трансфер Министарства просвјете и културе РС на име суфинансирања санације Основне школе "Милош Црњански" Поточани</t>
  </si>
  <si>
    <t>Субвенције за легализацију бесправно изграђених објеката</t>
  </si>
  <si>
    <r>
      <t xml:space="preserve">Капитални грантови - </t>
    </r>
    <r>
      <rPr>
        <sz val="9"/>
        <rFont val="Arial"/>
        <family val="2"/>
      </rPr>
      <t>реализација  УНДП пројекта "Програм за опоравак од поплава - стамбено збрињавање"</t>
    </r>
  </si>
  <si>
    <t>Расходи по основу закупа - пројекат "Наша продавница"</t>
  </si>
  <si>
    <t>Расходи за бруто накнаде члановима управног одбора</t>
  </si>
  <si>
    <t>Једнократне новчане помоћи - измирење дијела трошкова за прикључак на водоводну мрежу за породице погинулих бораца</t>
  </si>
  <si>
    <t>Средства за реализацију акционог плана за равноправност полова</t>
  </si>
  <si>
    <t>И) РАСПОДЈЕЛА СУФИЦИТА ИЗ РАНИЈЕГ ПЕРИОДА</t>
  </si>
  <si>
    <t>Г) РАСПОДЈЕЛА СУФИЦИТА ИЗ РАНИЈЕГ ПЕРИОДА</t>
  </si>
  <si>
    <r>
      <t>Расходи за стручне услуге -</t>
    </r>
    <r>
      <rPr>
        <b/>
        <sz val="9"/>
        <rFont val="Arial"/>
        <family val="2"/>
      </rPr>
      <t xml:space="preserve"> буџетска резерва</t>
    </r>
  </si>
  <si>
    <r>
      <t xml:space="preserve">Расходи за текуће одржавање - </t>
    </r>
    <r>
      <rPr>
        <b/>
        <sz val="9"/>
        <rFont val="Arial"/>
        <family val="2"/>
      </rPr>
      <t>буџетска резерва</t>
    </r>
  </si>
  <si>
    <r>
      <t>Остали непоменути расходи -</t>
    </r>
    <r>
      <rPr>
        <b/>
        <sz val="9"/>
        <rFont val="Arial"/>
        <family val="2"/>
      </rPr>
      <t xml:space="preserve"> буџетска резерва</t>
    </r>
  </si>
  <si>
    <t>Издаци по основу аванса</t>
  </si>
  <si>
    <t>3</t>
  </si>
  <si>
    <t>Акцизе</t>
  </si>
  <si>
    <t>Порези на промет производа</t>
  </si>
  <si>
    <t>Порези на промет услуга</t>
  </si>
  <si>
    <t>Трансфер Министарства здравља и социјалне заштите РС Центру за социјални рад за накнаде за личну инвалиднину</t>
  </si>
  <si>
    <t>Акциони план за имплементацију стратегије за инклузију Рома</t>
  </si>
  <si>
    <r>
      <t xml:space="preserve">Расходи по основу утрошка енергије, комуналних, комуникационих и транспортних услуга 
- </t>
    </r>
    <r>
      <rPr>
        <b/>
        <sz val="9"/>
        <rFont val="Arial"/>
        <family val="2"/>
      </rPr>
      <t>буџетска резерва</t>
    </r>
  </si>
  <si>
    <r>
      <rPr>
        <sz val="9"/>
        <rFont val="Arial"/>
        <family val="2"/>
      </rPr>
      <t>Назив и број потрошачке јединице:</t>
    </r>
    <r>
      <rPr>
        <b/>
        <sz val="9"/>
        <rFont val="Arial"/>
        <family val="2"/>
      </rPr>
      <t xml:space="preserve">
Одсјек за јавне  набавке, правна питања и прописе
Број: 00750241</t>
    </r>
  </si>
  <si>
    <t xml:space="preserve"> БУЏЕТ 
ОПШТИНЕ ПРЊАВОР ЗА 2020. ГОДИНУ
</t>
  </si>
  <si>
    <t>ТАБЕЛА 1.  БУЏЕТ ОПШТИНЕ ПРЊАВОР ЗА 2020. ГОДИНУ 
- ОПШТИ ДИО</t>
  </si>
  <si>
    <t>ТАБЕЛА 2.  БУЏЕТ ОПШТИНЕ ПРЊАВОР ЗА 2020. ГОДИНУ
-БУЏЕТСКИ ПРИХОДИ И ПРИМИЦИ ЗА НЕФИНАНСИЈСКУ ИМОВИНУ</t>
  </si>
  <si>
    <t>ТАБЕЛА 4.   БУЏЕТ ОПШТИНЕ ПРЊАВОР ЗА 2020. ГОДИНУ
- ФИНАНСИРАЊЕ</t>
  </si>
  <si>
    <t xml:space="preserve"> ТАБЕЛА 5.   БУЏЕТ ОПШТИНЕ ПРЊАВОР ЗА 2020. ГОДИНУ
 - ОРГАНИЗАЦИОНА КЛАСИФИКАЦИЈА                                                                                                                                                                                    </t>
  </si>
  <si>
    <t xml:space="preserve">  ТАБЕЛА 6.   БУЏЕТ ОПШТИНЕ ПРЊАВОР ЗА 2020. ГОДИНУ
- ФУНКЦИОНАЛНА КЛАСИФИКАЦИЈА </t>
  </si>
  <si>
    <t xml:space="preserve">  ТАБЕЛА 3. БУЏЕТ ОПШТИНЕ ПРЊАВОР ЗА 2020. ГОДИНУ
-БУЏЕТСКИ РАСХОДИ И ИЗДАЦИ ЗА НЕФИНАНСИЈСКУ ИМОВИНУ        </t>
  </si>
  <si>
    <t>Процјена извршења за 2019. годину</t>
  </si>
  <si>
    <t>Процјена извршења
за 2019. годину</t>
  </si>
  <si>
    <t>Процјена извршења за
 2019. годину</t>
  </si>
  <si>
    <t>Буџет за
 2020. годину</t>
  </si>
  <si>
    <t>5</t>
  </si>
  <si>
    <t>6(5/3*100)</t>
  </si>
  <si>
    <t>7(6/4*100)</t>
  </si>
  <si>
    <t>8(7/5*100)</t>
  </si>
  <si>
    <t>Грант УНДП/МЕГ - подстицаји за запошљавање у привреди</t>
  </si>
  <si>
    <t>Трансфер Владе Републике Српске за реализацију пројекта система видеонадзора општине Прњавор</t>
  </si>
  <si>
    <r>
      <t xml:space="preserve">Расходи по основу организације, пријема, манифестација и остали расходи - </t>
    </r>
    <r>
      <rPr>
        <b/>
        <sz val="9"/>
        <rFont val="Arial"/>
        <family val="2"/>
      </rPr>
      <t>буџетска резерва</t>
    </r>
  </si>
  <si>
    <t>Неутрошена намјенска средства из 2018. године - трансфер Министарства за просторно уређење, грађевинарство и екологију РС за суфинансирање трошкова израде докумената просторног уређења</t>
  </si>
  <si>
    <t>Издаци за залихе ситног инвентара, одјеће и обуће -
 из средстава донације правних лица за кућице за 
игру дјеце</t>
  </si>
  <si>
    <r>
      <t xml:space="preserve">Расходи за материјал за посебне намјене - </t>
    </r>
    <r>
      <rPr>
        <b/>
        <sz val="9"/>
        <rFont val="Arial"/>
        <family val="2"/>
      </rPr>
      <t>буџетска резерва</t>
    </r>
  </si>
  <si>
    <r>
      <t xml:space="preserve">Помоћ у реализацији пројеката заједница етажних власника  - </t>
    </r>
    <r>
      <rPr>
        <b/>
        <sz val="9"/>
        <rFont val="Arial"/>
        <family val="2"/>
      </rPr>
      <t>буџетска резерва</t>
    </r>
  </si>
  <si>
    <t>Расходи за материјал за текуће одржавање</t>
  </si>
  <si>
    <t>ОО организације старјешина ВРС</t>
  </si>
  <si>
    <t>Обиљежавање Риболовног купа  РВИ</t>
  </si>
  <si>
    <t>Процјена извршења
 за 2019. годину</t>
  </si>
  <si>
    <t>Буџет за 
2020. годину</t>
  </si>
  <si>
    <t>Донације правних лица ЈУ Дјечији вртић "Наша радост" Прњавор</t>
  </si>
  <si>
    <t>Подка-
тегорија</t>
  </si>
  <si>
    <t>Изградња и реконструкција објеката водоснабдијевања (базени, цјевоводи, изворишта, чесме и др.) из намјенских ср. за воде</t>
  </si>
  <si>
    <r>
      <t xml:space="preserve">Подстицаји за запошљавање у привреди - МЕГ пројекат </t>
    </r>
    <r>
      <rPr>
        <sz val="9"/>
        <rFont val="Arial"/>
        <family val="2"/>
      </rPr>
      <t>из средстава МЕГ/УНДП</t>
    </r>
  </si>
  <si>
    <r>
      <t xml:space="preserve">Реализација пројекта "Промоција едукативних садржаја о националним мањинама у основношколском образовању" - </t>
    </r>
    <r>
      <rPr>
        <sz val="9"/>
        <rFont val="Arial"/>
        <family val="2"/>
      </rPr>
      <t>из неутрошених средстава гранта Савјета Европе из 2018. године</t>
    </r>
  </si>
  <si>
    <r>
      <t xml:space="preserve">Реализација пројекта "Промоција едукативних садржаја о националним мањинама у основношколском образовању"  </t>
    </r>
    <r>
      <rPr>
        <sz val="9"/>
        <rFont val="Arial"/>
        <family val="2"/>
      </rPr>
      <t>из средстава гранта Савјета Европе</t>
    </r>
  </si>
  <si>
    <r>
      <t xml:space="preserve">Реализација пројекта "Промоција едукативних садржаја о националним мањинама у основношколском образовању"  </t>
    </r>
    <r>
      <rPr>
        <sz val="9"/>
        <rFont val="Arial"/>
        <family val="2"/>
      </rPr>
      <t>из средстава буџета општине</t>
    </r>
  </si>
  <si>
    <r>
      <t xml:space="preserve">Израда  докумената просторног уређења - </t>
    </r>
    <r>
      <rPr>
        <sz val="9"/>
        <rFont val="Arial"/>
        <family val="2"/>
      </rPr>
      <t>из неутрошеног трансфера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Министарства за просторно уређење, грађевинарство и екологију РС из 2018 године</t>
    </r>
  </si>
  <si>
    <t>Имплементација пројекта "Спојимо дјецу Косова и Метохије и Републике Српске"</t>
  </si>
  <si>
    <t>Средства за одржавање манифестације "Конференција беба"</t>
  </si>
  <si>
    <t>Средства за одржавање манифестације "Bike Fest"</t>
  </si>
  <si>
    <t>Грант општине Центар Сарајево за санацију оштећене путне комуникације у Коњуховцима и санацију каптаже и дистрибутивног резервоара у МЗ Лишња</t>
  </si>
  <si>
    <t>Трансфер Министарства породице, омладине и спорта ЈУ  Дјечији вртић "Наша радост" на име набавке дидактичког материјала и награде на име награђеног ликовног рада</t>
  </si>
  <si>
    <t>Изградња система видео надзора општине Прњавор - из средстава Владе РС</t>
  </si>
  <si>
    <t xml:space="preserve">Реконструкција пута у Коњуховцима и санација каптаже и дистрибутивног  резервоара у МЗ Лишња - из гранта општине Центар Сарајево </t>
  </si>
  <si>
    <t>Реконструкција пута у Коњуховцима и санација каптаже и дистрибутивног резервоара у МЗ Лишња - из неутрошених средстава гранта општине Центар Сарајево из 2017. године</t>
  </si>
  <si>
    <t>Расходи за набавку дидактичког материјала  - из средстава Министарства породице, омладине и спорта</t>
  </si>
  <si>
    <t>Расходи за набавку дидактичког материјала - из донаторских средстава правних лица</t>
  </si>
  <si>
    <t>Остали непоменути расходи -  награда на име награђеног ликовног рада из средстава Министарства породице, омладине и спорта</t>
  </si>
  <si>
    <t>Остали непоменути расходи - из средстава од
награде за најуређеније двориште</t>
  </si>
  <si>
    <t>Примици по основу пореза на додату вриједност</t>
  </si>
  <si>
    <t>Уградња потапајућих стубића у зони привремене забране вожње - из неутрошених средстава трансфера Агенције за безбједност саобраћаја РС из 2018. године</t>
  </si>
  <si>
    <t>Уградња потапајућих стубића у зони привремене забране вожње - из средстава општине</t>
  </si>
  <si>
    <t>Неутрошена намјенска средства из 2018. године - грант Савјета Европе за пројекат "Промоција едукативних садржаја о националнимм мањинама у основношколском образовању"</t>
  </si>
  <si>
    <t>Неутрошена намјенска средства из 2018. године - трансфер Агенције за безбједност саобраћаја РС за пројекат "Уградња потапајућих стубића у зони привремене забране вожње""</t>
  </si>
  <si>
    <t>План утрошка намјенских средстава за финансирање заштите од пожара</t>
  </si>
  <si>
    <r>
      <t>Средства за</t>
    </r>
    <r>
      <rPr>
        <sz val="9"/>
        <rFont val="Arial"/>
        <family val="2"/>
      </rPr>
      <t xml:space="preserve"> трошкове обиљежавања значајних датума (за трошкове вијенаца, цвијећа, свијећа и др.)</t>
    </r>
  </si>
  <si>
    <r>
      <t>Трошкови провизије за електронску наплату паркинга и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преноса података видео надзора</t>
    </r>
  </si>
  <si>
    <r>
      <t>Смјештај штићеника у установе социјалне заштите</t>
    </r>
    <r>
      <rPr>
        <sz val="9"/>
        <color indexed="10"/>
        <rFont val="Arial"/>
        <family val="2"/>
      </rPr>
      <t xml:space="preserve"> - </t>
    </r>
    <r>
      <rPr>
        <sz val="9"/>
        <rFont val="Arial"/>
        <family val="2"/>
      </rPr>
      <t>буџетске кориснике</t>
    </r>
  </si>
  <si>
    <t>Неутрошена  намјенска средства из 2017. године - грант општине Центар Сарајево за реконструкцију локалног пута у МЗ Коњуховци</t>
  </si>
  <si>
    <r>
      <t xml:space="preserve">Назив и број потрошачке јединице:
</t>
    </r>
    <r>
      <rPr>
        <b/>
        <sz val="9"/>
        <rFont val="Arial"/>
        <family val="2"/>
      </rPr>
      <t>Одјељење за борачко-инвалидску</t>
    </r>
    <r>
      <rPr>
        <b/>
        <sz val="9"/>
        <rFont val="Arial"/>
        <family val="2"/>
      </rPr>
      <t xml:space="preserve"> заштиту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 xml:space="preserve">   Број: 00750180</t>
    </r>
  </si>
  <si>
    <r>
      <t xml:space="preserve">Назив и број потрошачке јединице:
</t>
    </r>
    <r>
      <rPr>
        <b/>
        <sz val="9"/>
        <rFont val="Arial"/>
        <family val="2"/>
      </rPr>
      <t>Одсјек за цивилну заштиту
Број: 0075_____</t>
    </r>
  </si>
  <si>
    <t>Укупни расходи за потрошачку
 јединицу бр.  0075_____</t>
  </si>
  <si>
    <t>Грант УНДП/МЕГ - подстицаји за набавку машина и опреме</t>
  </si>
  <si>
    <t>Подстицаји за набавку машина и опреме - МЕГ пројекат</t>
  </si>
  <si>
    <t>Подстицаји за набавку машина и опреме - МЕГ пројекат из средстава МЕГ/УНДП</t>
  </si>
  <si>
    <t>Изједначавање могућности дјеце и омладине са сметњама у развоју из средстава Министарства здравља и социјалне заштите</t>
  </si>
  <si>
    <t>Средства за имплементацију пројекта "Омладинска банка"</t>
  </si>
  <si>
    <t>Средства за студентске картице</t>
  </si>
  <si>
    <t>Издаци за изградњу и прибављање стамбених јединица и објеката</t>
  </si>
  <si>
    <t>Израда промотивних брошура општине Прњавор</t>
  </si>
  <si>
    <t>0510</t>
  </si>
  <si>
    <t>Подршка развоју задругарства</t>
  </si>
  <si>
    <t>Грант КП,,Парк" а.д. Прњавор - набавка возила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</si>
</sst>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0.00000000"/>
    <numFmt numFmtId="194" formatCode="0.0"/>
    <numFmt numFmtId="195" formatCode="#,##0.00;[Red]#,##0.00"/>
    <numFmt numFmtId="196" formatCode="0.000000000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Times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FFBD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/>
      <top style="thin"/>
      <bottom>
        <color indexed="63"/>
      </bottom>
    </border>
    <border>
      <left style="thin"/>
      <right/>
      <top style="thin"/>
      <bottom style="double"/>
    </border>
    <border>
      <left style="thin"/>
      <right style="thin"/>
      <top/>
      <bottom>
        <color indexed="63"/>
      </bottom>
    </border>
    <border>
      <left style="double"/>
      <right/>
      <top style="thin"/>
      <bottom>
        <color indexed="63"/>
      </bottom>
    </border>
    <border>
      <left/>
      <right style="thin"/>
      <top style="thin"/>
      <bottom/>
    </border>
    <border>
      <left style="double"/>
      <right/>
      <top>
        <color indexed="63"/>
      </top>
      <bottom>
        <color indexed="63"/>
      </bottom>
    </border>
    <border>
      <left/>
      <right style="thin"/>
      <top/>
      <bottom/>
    </border>
    <border>
      <left style="double"/>
      <right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double"/>
      <top style="thin"/>
      <bottom style="double"/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10" xfId="0" applyFont="1" applyBorder="1" applyAlignment="1">
      <alignment horizontal="right" vertical="center"/>
    </xf>
    <xf numFmtId="2" fontId="6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4" fontId="5" fillId="0" borderId="10" xfId="0" applyNumberFormat="1" applyFont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" fontId="2" fillId="0" borderId="0" xfId="0" applyNumberFormat="1" applyFont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1" fillId="35" borderId="10" xfId="0" applyNumberFormat="1" applyFont="1" applyFill="1" applyBorder="1" applyAlignment="1">
      <alignment horizontal="right" vertical="center" wrapText="1"/>
    </xf>
    <xf numFmtId="4" fontId="13" fillId="34" borderId="12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5" fillId="36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36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" fontId="22" fillId="0" borderId="13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4" fontId="5" fillId="36" borderId="10" xfId="0" applyNumberFormat="1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horizontal="left" vertical="center"/>
    </xf>
    <xf numFmtId="4" fontId="5" fillId="13" borderId="10" xfId="0" applyNumberFormat="1" applyFont="1" applyFill="1" applyBorder="1" applyAlignment="1">
      <alignment horizontal="right" vertical="center"/>
    </xf>
    <xf numFmtId="0" fontId="5" fillId="1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13" borderId="10" xfId="0" applyFont="1" applyFill="1" applyBorder="1" applyAlignment="1">
      <alignment vertical="center"/>
    </xf>
    <xf numFmtId="2" fontId="2" fillId="13" borderId="13" xfId="0" applyNumberFormat="1" applyFont="1" applyFill="1" applyBorder="1" applyAlignment="1">
      <alignment horizontal="right" vertical="center"/>
    </xf>
    <xf numFmtId="4" fontId="2" fillId="13" borderId="10" xfId="0" applyNumberFormat="1" applyFont="1" applyFill="1" applyBorder="1" applyAlignment="1">
      <alignment horizontal="right" vertical="center"/>
    </xf>
    <xf numFmtId="2" fontId="2" fillId="13" borderId="18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4" fillId="33" borderId="21" xfId="0" applyNumberFormat="1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vertical="center"/>
    </xf>
    <xf numFmtId="4" fontId="12" fillId="0" borderId="2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2" fillId="13" borderId="12" xfId="0" applyFont="1" applyFill="1" applyBorder="1" applyAlignment="1">
      <alignment vertical="center" wrapText="1"/>
    </xf>
    <xf numFmtId="4" fontId="7" fillId="0" borderId="23" xfId="0" applyNumberFormat="1" applyFont="1" applyFill="1" applyBorder="1" applyAlignment="1">
      <alignment horizontal="right" vertical="center"/>
    </xf>
    <xf numFmtId="4" fontId="11" fillId="35" borderId="23" xfId="0" applyNumberFormat="1" applyFont="1" applyFill="1" applyBorder="1" applyAlignment="1">
      <alignment horizontal="right" vertical="center"/>
    </xf>
    <xf numFmtId="49" fontId="7" fillId="0" borderId="23" xfId="0" applyNumberFormat="1" applyFont="1" applyBorder="1" applyAlignment="1">
      <alignment horizontal="center" vertical="center"/>
    </xf>
    <xf numFmtId="4" fontId="22" fillId="0" borderId="23" xfId="0" applyNumberFormat="1" applyFont="1" applyBorder="1" applyAlignment="1">
      <alignment horizontal="right" vertical="center"/>
    </xf>
    <xf numFmtId="0" fontId="4" fillId="38" borderId="24" xfId="0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4" fontId="5" fillId="39" borderId="10" xfId="0" applyNumberFormat="1" applyFont="1" applyFill="1" applyBorder="1" applyAlignment="1">
      <alignment horizontal="right" vertical="center"/>
    </xf>
    <xf numFmtId="4" fontId="2" fillId="38" borderId="10" xfId="0" applyNumberFormat="1" applyFont="1" applyFill="1" applyBorder="1" applyAlignment="1">
      <alignment horizontal="right" vertical="center"/>
    </xf>
    <xf numFmtId="4" fontId="11" fillId="0" borderId="23" xfId="0" applyNumberFormat="1" applyFont="1" applyFill="1" applyBorder="1" applyAlignment="1">
      <alignment horizontal="right" vertical="center"/>
    </xf>
    <xf numFmtId="4" fontId="11" fillId="33" borderId="23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36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2" fillId="1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7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" fontId="11" fillId="40" borderId="23" xfId="0" applyNumberFormat="1" applyFont="1" applyFill="1" applyBorder="1" applyAlignment="1">
      <alignment horizontal="right" vertical="center"/>
    </xf>
    <xf numFmtId="4" fontId="21" fillId="13" borderId="12" xfId="0" applyNumberFormat="1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/>
    </xf>
    <xf numFmtId="4" fontId="5" fillId="13" borderId="1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4" fontId="7" fillId="35" borderId="2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11" fillId="35" borderId="23" xfId="0" applyNumberFormat="1" applyFont="1" applyFill="1" applyBorder="1" applyAlignment="1">
      <alignment horizontal="right" vertical="center"/>
    </xf>
    <xf numFmtId="4" fontId="11" fillId="35" borderId="23" xfId="0" applyNumberFormat="1" applyFont="1" applyFill="1" applyBorder="1" applyAlignment="1">
      <alignment horizontal="right" vertical="center" wrapText="1"/>
    </xf>
    <xf numFmtId="4" fontId="11" fillId="36" borderId="23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37" borderId="11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wrapText="1"/>
    </xf>
    <xf numFmtId="0" fontId="21" fillId="38" borderId="12" xfId="0" applyFont="1" applyFill="1" applyBorder="1" applyAlignment="1">
      <alignment horizontal="left" vertical="center" wrapText="1"/>
    </xf>
    <xf numFmtId="4" fontId="21" fillId="38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 wrapText="1"/>
    </xf>
    <xf numFmtId="4" fontId="7" fillId="40" borderId="10" xfId="0" applyNumberFormat="1" applyFont="1" applyFill="1" applyBorder="1" applyAlignment="1">
      <alignment horizontal="right" vertical="center"/>
    </xf>
    <xf numFmtId="4" fontId="7" fillId="40" borderId="23" xfId="0" applyNumberFormat="1" applyFont="1" applyFill="1" applyBorder="1" applyAlignment="1">
      <alignment horizontal="right" vertical="center"/>
    </xf>
    <xf numFmtId="0" fontId="2" fillId="37" borderId="10" xfId="0" applyFont="1" applyFill="1" applyBorder="1" applyAlignment="1">
      <alignment horizontal="left" vertical="center" wrapText="1"/>
    </xf>
    <xf numFmtId="0" fontId="2" fillId="39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4" fontId="2" fillId="39" borderId="13" xfId="0" applyNumberFormat="1" applyFont="1" applyFill="1" applyBorder="1" applyAlignment="1">
      <alignment horizontal="right" vertical="center"/>
    </xf>
    <xf numFmtId="4" fontId="0" fillId="40" borderId="23" xfId="0" applyNumberFormat="1" applyFont="1" applyFill="1" applyBorder="1" applyAlignment="1">
      <alignment horizontal="right" vertical="center"/>
    </xf>
    <xf numFmtId="49" fontId="7" fillId="0" borderId="25" xfId="0" applyNumberFormat="1" applyFont="1" applyFill="1" applyBorder="1" applyAlignment="1">
      <alignment horizontal="center" vertical="center"/>
    </xf>
    <xf numFmtId="4" fontId="5" fillId="40" borderId="10" xfId="0" applyNumberFormat="1" applyFont="1" applyFill="1" applyBorder="1" applyAlignment="1">
      <alignment horizontal="right" vertical="center"/>
    </xf>
    <xf numFmtId="4" fontId="5" fillId="40" borderId="13" xfId="0" applyNumberFormat="1" applyFont="1" applyFill="1" applyBorder="1" applyAlignment="1">
      <alignment horizontal="right" vertical="center"/>
    </xf>
    <xf numFmtId="4" fontId="7" fillId="40" borderId="13" xfId="0" applyNumberFormat="1" applyFont="1" applyFill="1" applyBorder="1" applyAlignment="1">
      <alignment horizontal="right" vertical="center"/>
    </xf>
    <xf numFmtId="0" fontId="1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33" borderId="25" xfId="0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7" fillId="33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 wrapText="1"/>
    </xf>
    <xf numFmtId="4" fontId="2" fillId="13" borderId="12" xfId="0" applyNumberFormat="1" applyFont="1" applyFill="1" applyBorder="1" applyAlignment="1">
      <alignment horizontal="right" vertical="center"/>
    </xf>
    <xf numFmtId="4" fontId="0" fillId="40" borderId="10" xfId="0" applyNumberFormat="1" applyFont="1" applyFill="1" applyBorder="1" applyAlignment="1">
      <alignment horizontal="right" vertical="center"/>
    </xf>
    <xf numFmtId="2" fontId="0" fillId="40" borderId="13" xfId="0" applyNumberFormat="1" applyFont="1" applyFill="1" applyBorder="1" applyAlignment="1">
      <alignment horizontal="right" vertical="center"/>
    </xf>
    <xf numFmtId="4" fontId="7" fillId="35" borderId="13" xfId="0" applyNumberFormat="1" applyFont="1" applyFill="1" applyBorder="1" applyAlignment="1">
      <alignment horizontal="right" vertical="center"/>
    </xf>
    <xf numFmtId="2" fontId="7" fillId="35" borderId="13" xfId="0" applyNumberFormat="1" applyFont="1" applyFill="1" applyBorder="1" applyAlignment="1">
      <alignment horizontal="right" vertical="center"/>
    </xf>
    <xf numFmtId="4" fontId="14" fillId="33" borderId="26" xfId="0" applyNumberFormat="1" applyFont="1" applyFill="1" applyBorder="1" applyAlignment="1">
      <alignment horizontal="right" vertical="center"/>
    </xf>
    <xf numFmtId="4" fontId="11" fillId="40" borderId="10" xfId="0" applyNumberFormat="1" applyFont="1" applyFill="1" applyBorder="1" applyAlignment="1">
      <alignment horizontal="right" vertical="center"/>
    </xf>
    <xf numFmtId="2" fontId="7" fillId="40" borderId="13" xfId="0" applyNumberFormat="1" applyFont="1" applyFill="1" applyBorder="1" applyAlignment="1">
      <alignment horizontal="right" vertical="center"/>
    </xf>
    <xf numFmtId="2" fontId="7" fillId="39" borderId="13" xfId="0" applyNumberFormat="1" applyFont="1" applyFill="1" applyBorder="1" applyAlignment="1">
      <alignment horizontal="right" vertical="center"/>
    </xf>
    <xf numFmtId="4" fontId="11" fillId="39" borderId="23" xfId="0" applyNumberFormat="1" applyFont="1" applyFill="1" applyBorder="1" applyAlignment="1">
      <alignment horizontal="right" vertical="center"/>
    </xf>
    <xf numFmtId="4" fontId="7" fillId="39" borderId="13" xfId="0" applyNumberFormat="1" applyFont="1" applyFill="1" applyBorder="1" applyAlignment="1">
      <alignment horizontal="right" vertical="center"/>
    </xf>
    <xf numFmtId="4" fontId="12" fillId="38" borderId="23" xfId="0" applyNumberFormat="1" applyFont="1" applyFill="1" applyBorder="1" applyAlignment="1">
      <alignment horizontal="right" vertical="center"/>
    </xf>
    <xf numFmtId="4" fontId="5" fillId="38" borderId="13" xfId="0" applyNumberFormat="1" applyFont="1" applyFill="1" applyBorder="1" applyAlignment="1">
      <alignment horizontal="right" vertical="center"/>
    </xf>
    <xf numFmtId="2" fontId="5" fillId="38" borderId="13" xfId="0" applyNumberFormat="1" applyFont="1" applyFill="1" applyBorder="1" applyAlignment="1">
      <alignment horizontal="right" vertical="center"/>
    </xf>
    <xf numFmtId="2" fontId="5" fillId="38" borderId="18" xfId="0" applyNumberFormat="1" applyFont="1" applyFill="1" applyBorder="1" applyAlignment="1">
      <alignment horizontal="right" vertical="center"/>
    </xf>
    <xf numFmtId="4" fontId="12" fillId="38" borderId="10" xfId="0" applyNumberFormat="1" applyFont="1" applyFill="1" applyBorder="1" applyAlignment="1">
      <alignment horizontal="right" vertical="center"/>
    </xf>
    <xf numFmtId="4" fontId="11" fillId="41" borderId="23" xfId="0" applyNumberFormat="1" applyFont="1" applyFill="1" applyBorder="1" applyAlignment="1">
      <alignment horizontal="right" vertical="center"/>
    </xf>
    <xf numFmtId="2" fontId="7" fillId="41" borderId="13" xfId="0" applyNumberFormat="1" applyFont="1" applyFill="1" applyBorder="1" applyAlignment="1">
      <alignment horizontal="right" vertical="center"/>
    </xf>
    <xf numFmtId="4" fontId="11" fillId="41" borderId="10" xfId="0" applyNumberFormat="1" applyFont="1" applyFill="1" applyBorder="1" applyAlignment="1">
      <alignment horizontal="right" vertical="center"/>
    </xf>
    <xf numFmtId="0" fontId="0" fillId="40" borderId="11" xfId="0" applyFont="1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 wrapText="1"/>
    </xf>
    <xf numFmtId="0" fontId="7" fillId="4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left" vertical="center" wrapText="1"/>
    </xf>
    <xf numFmtId="0" fontId="5" fillId="40" borderId="10" xfId="0" applyFont="1" applyFill="1" applyBorder="1" applyAlignment="1">
      <alignment horizontal="center" vertical="center" wrapText="1"/>
    </xf>
    <xf numFmtId="49" fontId="5" fillId="40" borderId="10" xfId="0" applyNumberFormat="1" applyFont="1" applyFill="1" applyBorder="1" applyAlignment="1">
      <alignment horizontal="center" vertical="center"/>
    </xf>
    <xf numFmtId="49" fontId="7" fillId="40" borderId="25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4" fontId="12" fillId="34" borderId="27" xfId="0" applyNumberFormat="1" applyFont="1" applyFill="1" applyBorder="1" applyAlignment="1">
      <alignment horizontal="right" vertical="center"/>
    </xf>
    <xf numFmtId="2" fontId="5" fillId="38" borderId="28" xfId="0" applyNumberFormat="1" applyFont="1" applyFill="1" applyBorder="1" applyAlignment="1">
      <alignment horizontal="right" vertical="center"/>
    </xf>
    <xf numFmtId="49" fontId="7" fillId="4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38" borderId="28" xfId="0" applyNumberFormat="1" applyFont="1" applyFill="1" applyBorder="1" applyAlignment="1">
      <alignment horizontal="right" vertical="center"/>
    </xf>
    <xf numFmtId="4" fontId="11" fillId="35" borderId="29" xfId="0" applyNumberFormat="1" applyFont="1" applyFill="1" applyBorder="1" applyAlignment="1">
      <alignment horizontal="right" vertical="center"/>
    </xf>
    <xf numFmtId="4" fontId="7" fillId="35" borderId="30" xfId="0" applyNumberFormat="1" applyFont="1" applyFill="1" applyBorder="1" applyAlignment="1">
      <alignment horizontal="right" vertical="center"/>
    </xf>
    <xf numFmtId="4" fontId="11" fillId="35" borderId="31" xfId="0" applyNumberFormat="1" applyFont="1" applyFill="1" applyBorder="1" applyAlignment="1">
      <alignment horizontal="right" vertical="center"/>
    </xf>
    <xf numFmtId="2" fontId="7" fillId="35" borderId="30" xfId="0" applyNumberFormat="1" applyFont="1" applyFill="1" applyBorder="1" applyAlignment="1">
      <alignment horizontal="right" vertical="center"/>
    </xf>
    <xf numFmtId="4" fontId="11" fillId="0" borderId="31" xfId="0" applyNumberFormat="1" applyFont="1" applyFill="1" applyBorder="1" applyAlignment="1">
      <alignment horizontal="right" vertical="center"/>
    </xf>
    <xf numFmtId="4" fontId="11" fillId="0" borderId="32" xfId="0" applyNumberFormat="1" applyFont="1" applyFill="1" applyBorder="1" applyAlignment="1">
      <alignment horizontal="right" vertical="center"/>
    </xf>
    <xf numFmtId="2" fontId="7" fillId="33" borderId="30" xfId="0" applyNumberFormat="1" applyFont="1" applyFill="1" applyBorder="1" applyAlignment="1">
      <alignment horizontal="right" vertical="center"/>
    </xf>
    <xf numFmtId="0" fontId="17" fillId="0" borderId="27" xfId="0" applyFont="1" applyBorder="1" applyAlignment="1">
      <alignment horizontal="center" vertical="center"/>
    </xf>
    <xf numFmtId="4" fontId="11" fillId="42" borderId="10" xfId="0" applyNumberFormat="1" applyFont="1" applyFill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4" fontId="11" fillId="0" borderId="33" xfId="0" applyNumberFormat="1" applyFont="1" applyFill="1" applyBorder="1" applyAlignment="1">
      <alignment horizontal="right" vertical="center"/>
    </xf>
    <xf numFmtId="4" fontId="11" fillId="0" borderId="34" xfId="0" applyNumberFormat="1" applyFont="1" applyFill="1" applyBorder="1" applyAlignment="1">
      <alignment horizontal="right" vertical="center"/>
    </xf>
    <xf numFmtId="4" fontId="11" fillId="0" borderId="35" xfId="0" applyNumberFormat="1" applyFont="1" applyFill="1" applyBorder="1" applyAlignment="1">
      <alignment horizontal="right" vertical="center"/>
    </xf>
    <xf numFmtId="4" fontId="11" fillId="0" borderId="33" xfId="0" applyNumberFormat="1" applyFont="1" applyBorder="1" applyAlignment="1">
      <alignment horizontal="right" vertical="center"/>
    </xf>
    <xf numFmtId="4" fontId="11" fillId="0" borderId="34" xfId="0" applyNumberFormat="1" applyFont="1" applyBorder="1" applyAlignment="1">
      <alignment horizontal="right" vertical="center"/>
    </xf>
    <xf numFmtId="4" fontId="11" fillId="0" borderId="35" xfId="0" applyNumberFormat="1" applyFont="1" applyBorder="1" applyAlignment="1">
      <alignment horizontal="right" vertical="center"/>
    </xf>
    <xf numFmtId="4" fontId="11" fillId="42" borderId="13" xfId="0" applyNumberFormat="1" applyFont="1" applyFill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2" fillId="38" borderId="13" xfId="0" applyNumberFormat="1" applyFont="1" applyFill="1" applyBorder="1" applyAlignment="1">
      <alignment horizontal="right" vertical="center"/>
    </xf>
    <xf numFmtId="4" fontId="12" fillId="0" borderId="33" xfId="0" applyNumberFormat="1" applyFont="1" applyFill="1" applyBorder="1" applyAlignment="1">
      <alignment vertical="center"/>
    </xf>
    <xf numFmtId="4" fontId="12" fillId="0" borderId="35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" fontId="5" fillId="34" borderId="13" xfId="0" applyNumberFormat="1" applyFont="1" applyFill="1" applyBorder="1" applyAlignment="1">
      <alignment horizontal="right" vertical="center"/>
    </xf>
    <xf numFmtId="4" fontId="5" fillId="36" borderId="13" xfId="0" applyNumberFormat="1" applyFont="1" applyFill="1" applyBorder="1" applyAlignment="1">
      <alignment horizontal="right" vertical="center"/>
    </xf>
    <xf numFmtId="0" fontId="15" fillId="0" borderId="15" xfId="0" applyFont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4" fontId="2" fillId="38" borderId="13" xfId="0" applyNumberFormat="1" applyFont="1" applyFill="1" applyBorder="1" applyAlignment="1">
      <alignment horizontal="right" vertical="center"/>
    </xf>
    <xf numFmtId="4" fontId="2" fillId="36" borderId="1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left" vertical="center"/>
    </xf>
    <xf numFmtId="49" fontId="7" fillId="33" borderId="36" xfId="0" applyNumberFormat="1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right" vertical="center"/>
    </xf>
    <xf numFmtId="0" fontId="7" fillId="33" borderId="29" xfId="0" applyFont="1" applyFill="1" applyBorder="1" applyAlignment="1">
      <alignment vertical="center" wrapText="1"/>
    </xf>
    <xf numFmtId="4" fontId="11" fillId="40" borderId="31" xfId="0" applyNumberFormat="1" applyFont="1" applyFill="1" applyBorder="1" applyAlignment="1">
      <alignment horizontal="right" vertical="center"/>
    </xf>
    <xf numFmtId="4" fontId="7" fillId="40" borderId="30" xfId="0" applyNumberFormat="1" applyFont="1" applyFill="1" applyBorder="1" applyAlignment="1">
      <alignment horizontal="right" vertical="center"/>
    </xf>
    <xf numFmtId="4" fontId="7" fillId="41" borderId="13" xfId="0" applyNumberFormat="1" applyFont="1" applyFill="1" applyBorder="1" applyAlignment="1">
      <alignment horizontal="right" vertical="center"/>
    </xf>
    <xf numFmtId="4" fontId="21" fillId="38" borderId="18" xfId="0" applyNumberFormat="1" applyFont="1" applyFill="1" applyBorder="1" applyAlignment="1">
      <alignment horizontal="right" vertical="center"/>
    </xf>
    <xf numFmtId="4" fontId="21" fillId="13" borderId="12" xfId="0" applyNumberFormat="1" applyFont="1" applyFill="1" applyBorder="1" applyAlignment="1">
      <alignment horizontal="right" vertical="center"/>
    </xf>
    <xf numFmtId="4" fontId="21" fillId="13" borderId="18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2" fontId="15" fillId="0" borderId="38" xfId="0" applyNumberFormat="1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4" fontId="0" fillId="0" borderId="44" xfId="0" applyNumberFormat="1" applyBorder="1" applyAlignment="1">
      <alignment horizontal="right" vertical="center"/>
    </xf>
    <xf numFmtId="2" fontId="0" fillId="0" borderId="45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2" fontId="0" fillId="0" borderId="46" xfId="0" applyNumberFormat="1" applyBorder="1" applyAlignment="1">
      <alignment horizontal="right" vertical="center"/>
    </xf>
    <xf numFmtId="4" fontId="21" fillId="38" borderId="47" xfId="0" applyNumberFormat="1" applyFont="1" applyFill="1" applyBorder="1" applyAlignment="1">
      <alignment horizontal="right" vertical="center"/>
    </xf>
    <xf numFmtId="4" fontId="21" fillId="38" borderId="48" xfId="0" applyNumberFormat="1" applyFont="1" applyFill="1" applyBorder="1" applyAlignment="1">
      <alignment horizontal="right" vertical="center"/>
    </xf>
    <xf numFmtId="4" fontId="7" fillId="39" borderId="2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4" fontId="7" fillId="0" borderId="49" xfId="0" applyNumberFormat="1" applyFont="1" applyFill="1" applyBorder="1" applyAlignment="1">
      <alignment horizontal="right" vertical="center"/>
    </xf>
    <xf numFmtId="4" fontId="7" fillId="0" borderId="31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4" fontId="0" fillId="40" borderId="10" xfId="0" applyNumberFormat="1" applyFont="1" applyFill="1" applyBorder="1" applyAlignment="1">
      <alignment horizontal="right" vertical="center"/>
    </xf>
    <xf numFmtId="4" fontId="7" fillId="40" borderId="10" xfId="0" applyNumberFormat="1" applyFont="1" applyFill="1" applyBorder="1" applyAlignment="1">
      <alignment horizontal="right" vertical="center"/>
    </xf>
    <xf numFmtId="4" fontId="7" fillId="40" borderId="13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4" fontId="2" fillId="38" borderId="23" xfId="0" applyNumberFormat="1" applyFont="1" applyFill="1" applyBorder="1" applyAlignment="1">
      <alignment horizontal="right" vertical="center"/>
    </xf>
    <xf numFmtId="4" fontId="2" fillId="39" borderId="23" xfId="0" applyNumberFormat="1" applyFont="1" applyFill="1" applyBorder="1" applyAlignment="1">
      <alignment horizontal="right" vertical="center"/>
    </xf>
    <xf numFmtId="4" fontId="0" fillId="33" borderId="23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40" borderId="23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4" fontId="21" fillId="13" borderId="50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1" fillId="0" borderId="23" xfId="0" applyNumberFormat="1" applyFont="1" applyFill="1" applyBorder="1" applyAlignment="1">
      <alignment vertical="center"/>
    </xf>
    <xf numFmtId="4" fontId="0" fillId="0" borderId="51" xfId="0" applyNumberFormat="1" applyBorder="1" applyAlignment="1">
      <alignment horizontal="right" vertical="center"/>
    </xf>
    <xf numFmtId="4" fontId="27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7" fillId="0" borderId="36" xfId="0" applyNumberFormat="1" applyFont="1" applyFill="1" applyBorder="1" applyAlignment="1">
      <alignment horizontal="center" vertical="center"/>
    </xf>
    <xf numFmtId="4" fontId="11" fillId="42" borderId="10" xfId="0" applyNumberFormat="1" applyFont="1" applyFill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9" fontId="7" fillId="40" borderId="11" xfId="0" applyNumberFormat="1" applyFont="1" applyFill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5" fillId="40" borderId="25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5" fillId="0" borderId="34" xfId="0" applyNumberFormat="1" applyFont="1" applyFill="1" applyBorder="1" applyAlignment="1">
      <alignment horizontal="right" vertical="center"/>
    </xf>
    <xf numFmtId="4" fontId="12" fillId="0" borderId="20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4" fontId="0" fillId="0" borderId="49" xfId="0" applyNumberFormat="1" applyFont="1" applyBorder="1" applyAlignment="1">
      <alignment horizontal="right" vertical="center"/>
    </xf>
    <xf numFmtId="2" fontId="5" fillId="0" borderId="33" xfId="0" applyNumberFormat="1" applyFont="1" applyFill="1" applyBorder="1" applyAlignment="1">
      <alignment horizontal="right" vertical="center"/>
    </xf>
    <xf numFmtId="2" fontId="5" fillId="0" borderId="34" xfId="0" applyNumberFormat="1" applyFont="1" applyFill="1" applyBorder="1" applyAlignment="1">
      <alignment horizontal="right" vertical="center"/>
    </xf>
    <xf numFmtId="2" fontId="5" fillId="0" borderId="35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 wrapText="1"/>
    </xf>
    <xf numFmtId="4" fontId="0" fillId="40" borderId="23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4" fontId="5" fillId="38" borderId="10" xfId="0" applyNumberFormat="1" applyFont="1" applyFill="1" applyBorder="1" applyAlignment="1">
      <alignment horizontal="right" vertical="center"/>
    </xf>
    <xf numFmtId="4" fontId="2" fillId="40" borderId="10" xfId="0" applyNumberFormat="1" applyFont="1" applyFill="1" applyBorder="1" applyAlignment="1">
      <alignment horizontal="right" vertical="center"/>
    </xf>
    <xf numFmtId="4" fontId="2" fillId="39" borderId="10" xfId="0" applyNumberFormat="1" applyFont="1" applyFill="1" applyBorder="1" applyAlignment="1">
      <alignment horizontal="right" vertical="center"/>
    </xf>
    <xf numFmtId="4" fontId="12" fillId="38" borderId="31" xfId="0" applyNumberFormat="1" applyFont="1" applyFill="1" applyBorder="1" applyAlignment="1">
      <alignment horizontal="right" vertical="center"/>
    </xf>
    <xf numFmtId="4" fontId="12" fillId="38" borderId="12" xfId="0" applyNumberFormat="1" applyFont="1" applyFill="1" applyBorder="1" applyAlignment="1">
      <alignment horizontal="right" vertical="center"/>
    </xf>
    <xf numFmtId="4" fontId="11" fillId="40" borderId="29" xfId="0" applyNumberFormat="1" applyFont="1" applyFill="1" applyBorder="1" applyAlignment="1">
      <alignment horizontal="right" vertical="center"/>
    </xf>
    <xf numFmtId="4" fontId="12" fillId="38" borderId="29" xfId="0" applyNumberFormat="1" applyFont="1" applyFill="1" applyBorder="1" applyAlignment="1">
      <alignment horizontal="right" vertical="center"/>
    </xf>
    <xf numFmtId="4" fontId="11" fillId="39" borderId="31" xfId="0" applyNumberFormat="1" applyFont="1" applyFill="1" applyBorder="1" applyAlignment="1">
      <alignment horizontal="right" vertical="center"/>
    </xf>
    <xf numFmtId="4" fontId="2" fillId="38" borderId="26" xfId="0" applyNumberFormat="1" applyFont="1" applyFill="1" applyBorder="1" applyAlignment="1">
      <alignment horizontal="right" vertical="center"/>
    </xf>
    <xf numFmtId="4" fontId="2" fillId="39" borderId="26" xfId="0" applyNumberFormat="1" applyFont="1" applyFill="1" applyBorder="1" applyAlignment="1">
      <alignment horizontal="right" vertical="center"/>
    </xf>
    <xf numFmtId="4" fontId="0" fillId="33" borderId="26" xfId="0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" fontId="0" fillId="40" borderId="26" xfId="0" applyNumberFormat="1" applyFont="1" applyFill="1" applyBorder="1" applyAlignment="1">
      <alignment horizontal="right" vertical="center"/>
    </xf>
    <xf numFmtId="4" fontId="2" fillId="40" borderId="26" xfId="0" applyNumberFormat="1" applyFont="1" applyFill="1" applyBorder="1" applyAlignment="1">
      <alignment horizontal="right" vertical="center"/>
    </xf>
    <xf numFmtId="4" fontId="0" fillId="40" borderId="26" xfId="0" applyNumberFormat="1" applyFont="1" applyFill="1" applyBorder="1" applyAlignment="1">
      <alignment horizontal="right" vertical="center"/>
    </xf>
    <xf numFmtId="4" fontId="0" fillId="0" borderId="26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4" fontId="21" fillId="13" borderId="58" xfId="0" applyNumberFormat="1" applyFont="1" applyFill="1" applyBorder="1" applyAlignment="1">
      <alignment horizontal="right" vertical="center"/>
    </xf>
    <xf numFmtId="4" fontId="2" fillId="38" borderId="10" xfId="0" applyNumberFormat="1" applyFont="1" applyFill="1" applyBorder="1" applyAlignment="1">
      <alignment horizontal="right" vertical="center"/>
    </xf>
    <xf numFmtId="4" fontId="2" fillId="39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1" fillId="13" borderId="12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horizontal="right"/>
    </xf>
    <xf numFmtId="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4" fontId="21" fillId="0" borderId="0" xfId="0" applyNumberFormat="1" applyFont="1" applyAlignment="1">
      <alignment horizontal="right"/>
    </xf>
    <xf numFmtId="0" fontId="28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4" fontId="4" fillId="34" borderId="23" xfId="0" applyNumberFormat="1" applyFont="1" applyFill="1" applyBorder="1" applyAlignment="1">
      <alignment horizontal="right" vertical="center"/>
    </xf>
    <xf numFmtId="4" fontId="4" fillId="34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/>
    </xf>
    <xf numFmtId="4" fontId="4" fillId="39" borderId="23" xfId="0" applyNumberFormat="1" applyFont="1" applyFill="1" applyBorder="1" applyAlignment="1">
      <alignment horizontal="right" vertical="center"/>
    </xf>
    <xf numFmtId="4" fontId="4" fillId="39" borderId="13" xfId="0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4" fontId="28" fillId="0" borderId="23" xfId="0" applyNumberFormat="1" applyFont="1" applyFill="1" applyBorder="1" applyAlignment="1">
      <alignment horizontal="right" vertical="center"/>
    </xf>
    <xf numFmtId="4" fontId="28" fillId="40" borderId="13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center" wrapText="1"/>
    </xf>
    <xf numFmtId="4" fontId="28" fillId="0" borderId="2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horizontal="left" vertical="center" wrapText="1"/>
    </xf>
    <xf numFmtId="4" fontId="4" fillId="38" borderId="23" xfId="0" applyNumberFormat="1" applyFont="1" applyFill="1" applyBorder="1" applyAlignment="1">
      <alignment horizontal="right" vertical="center"/>
    </xf>
    <xf numFmtId="0" fontId="4" fillId="39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horizontal="right" vertical="center"/>
    </xf>
    <xf numFmtId="0" fontId="4" fillId="13" borderId="10" xfId="0" applyFont="1" applyFill="1" applyBorder="1" applyAlignment="1">
      <alignment horizontal="left" vertical="center"/>
    </xf>
    <xf numFmtId="4" fontId="4" fillId="13" borderId="23" xfId="0" applyNumberFormat="1" applyFont="1" applyFill="1" applyBorder="1" applyAlignment="1">
      <alignment horizontal="right" vertical="center"/>
    </xf>
    <xf numFmtId="4" fontId="4" fillId="13" borderId="13" xfId="0" applyNumberFormat="1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horizontal="left" vertical="center"/>
    </xf>
    <xf numFmtId="4" fontId="29" fillId="34" borderId="13" xfId="0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vertical="center"/>
    </xf>
    <xf numFmtId="4" fontId="29" fillId="13" borderId="1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left" vertical="center" wrapText="1"/>
    </xf>
    <xf numFmtId="4" fontId="28" fillId="33" borderId="23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 wrapText="1"/>
    </xf>
    <xf numFmtId="4" fontId="4" fillId="39" borderId="10" xfId="0" applyNumberFormat="1" applyFont="1" applyFill="1" applyBorder="1" applyAlignment="1">
      <alignment horizontal="right" vertical="center"/>
    </xf>
    <xf numFmtId="4" fontId="28" fillId="40" borderId="23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38" borderId="13" xfId="0" applyNumberFormat="1" applyFont="1" applyFill="1" applyBorder="1" applyAlignment="1">
      <alignment horizontal="right" vertical="center"/>
    </xf>
    <xf numFmtId="0" fontId="28" fillId="0" borderId="24" xfId="0" applyFont="1" applyBorder="1" applyAlignment="1">
      <alignment/>
    </xf>
    <xf numFmtId="0" fontId="4" fillId="13" borderId="12" xfId="0" applyFont="1" applyFill="1" applyBorder="1" applyAlignment="1">
      <alignment vertical="center" wrapText="1"/>
    </xf>
    <xf numFmtId="4" fontId="4" fillId="13" borderId="12" xfId="0" applyNumberFormat="1" applyFont="1" applyFill="1" applyBorder="1" applyAlignment="1">
      <alignment horizontal="right" vertical="center" wrapText="1"/>
    </xf>
    <xf numFmtId="4" fontId="29" fillId="13" borderId="18" xfId="0" applyNumberFormat="1" applyFont="1" applyFill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/>
    </xf>
    <xf numFmtId="4" fontId="12" fillId="0" borderId="34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4" fontId="7" fillId="0" borderId="10" xfId="0" applyNumberFormat="1" applyFont="1" applyBorder="1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5" fillId="0" borderId="5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/>
    </xf>
    <xf numFmtId="49" fontId="5" fillId="40" borderId="25" xfId="0" applyNumberFormat="1" applyFont="1" applyFill="1" applyBorder="1" applyAlignment="1">
      <alignment horizontal="center" vertical="center"/>
    </xf>
    <xf numFmtId="49" fontId="5" fillId="40" borderId="64" xfId="0" applyNumberFormat="1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40" borderId="29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40" borderId="38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/>
    </xf>
    <xf numFmtId="0" fontId="20" fillId="33" borderId="66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 wrapText="1"/>
    </xf>
    <xf numFmtId="0" fontId="5" fillId="36" borderId="64" xfId="0" applyFont="1" applyFill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left" vertical="center" wrapText="1"/>
    </xf>
    <xf numFmtId="0" fontId="25" fillId="0" borderId="59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zoomScalePageLayoutView="0" workbookViewId="0" topLeftCell="A7">
      <selection activeCell="E29" sqref="E29"/>
    </sheetView>
  </sheetViews>
  <sheetFormatPr defaultColWidth="9.140625" defaultRowHeight="12.75"/>
  <sheetData>
    <row r="1" spans="1:13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2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2.7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</row>
    <row r="4" spans="1:13" ht="24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ht="12.75" customHeight="1"/>
    <row r="6" ht="12.75" customHeight="1"/>
    <row r="7" ht="12.75" customHeight="1"/>
    <row r="8" spans="9:11" ht="15">
      <c r="I8" s="14"/>
      <c r="J8" s="14"/>
      <c r="K8" s="14"/>
    </row>
    <row r="9" spans="9:11" ht="15">
      <c r="I9" s="14"/>
      <c r="J9" s="15"/>
      <c r="K9" s="14"/>
    </row>
    <row r="10" spans="9:11" ht="15">
      <c r="I10" s="14"/>
      <c r="J10" s="15"/>
      <c r="K10" s="14"/>
    </row>
    <row r="11" spans="8:11" ht="12.75" customHeight="1">
      <c r="H11" s="16"/>
      <c r="I11" s="14"/>
      <c r="J11" s="17"/>
      <c r="K11" s="18"/>
    </row>
    <row r="12" spans="11:12" ht="12.75" customHeight="1">
      <c r="K12" s="425"/>
      <c r="L12" s="425"/>
    </row>
    <row r="13" ht="7.5" customHeight="1"/>
    <row r="14" spans="10:12" ht="12.75" customHeight="1">
      <c r="J14" s="220"/>
      <c r="K14" s="425"/>
      <c r="L14" s="425"/>
    </row>
    <row r="16" ht="6" customHeight="1"/>
    <row r="17" ht="12.75" customHeight="1"/>
    <row r="18" spans="1:13" ht="12.75" customHeight="1">
      <c r="A18" s="517" t="s">
        <v>527</v>
      </c>
      <c r="B18" s="517"/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</row>
    <row r="19" spans="1:13" ht="12.75" customHeight="1">
      <c r="A19" s="517"/>
      <c r="B19" s="517"/>
      <c r="C19" s="517"/>
      <c r="D19" s="517"/>
      <c r="E19" s="517"/>
      <c r="F19" s="517"/>
      <c r="G19" s="517"/>
      <c r="H19" s="517"/>
      <c r="I19" s="517"/>
      <c r="J19" s="517"/>
      <c r="K19" s="517"/>
      <c r="L19" s="517"/>
      <c r="M19" s="517"/>
    </row>
    <row r="20" spans="1:13" ht="34.5" customHeight="1">
      <c r="A20" s="517"/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</row>
    <row r="21" spans="1:13" ht="39" customHeight="1">
      <c r="A21" s="517"/>
      <c r="B21" s="517"/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</row>
    <row r="22" ht="12.75" customHeight="1"/>
    <row r="23" ht="9" customHeight="1"/>
    <row r="33" spans="8:13" ht="15.75">
      <c r="H33" s="518"/>
      <c r="I33" s="518"/>
      <c r="J33" s="518"/>
      <c r="K33" s="518"/>
      <c r="L33" s="518"/>
      <c r="M33" s="518"/>
    </row>
    <row r="34" spans="1:13" ht="15.75">
      <c r="A34" s="519"/>
      <c r="B34" s="519"/>
      <c r="C34" s="519"/>
      <c r="D34" s="519"/>
      <c r="E34" s="519"/>
      <c r="H34" s="518"/>
      <c r="I34" s="518"/>
      <c r="J34" s="518"/>
      <c r="K34" s="518"/>
      <c r="L34" s="518"/>
      <c r="M34" s="518"/>
    </row>
  </sheetData>
  <sheetProtection/>
  <mergeCells count="4">
    <mergeCell ref="A18:M21"/>
    <mergeCell ref="H33:M33"/>
    <mergeCell ref="A34:E34"/>
    <mergeCell ref="H34:M34"/>
  </mergeCells>
  <printOptions/>
  <pageMargins left="0.75" right="0.75" top="1" bottom="1" header="0.5" footer="0.5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zoomScale="90" zoomScaleNormal="90" zoomScalePageLayoutView="0" workbookViewId="0" topLeftCell="A1">
      <selection activeCell="C2" sqref="C2:C3"/>
    </sheetView>
  </sheetViews>
  <sheetFormatPr defaultColWidth="9.140625" defaultRowHeight="12.75"/>
  <cols>
    <col min="1" max="1" width="11.00390625" style="0" bestFit="1" customWidth="1"/>
    <col min="2" max="2" width="63.8515625" style="0" customWidth="1"/>
    <col min="3" max="3" width="20.00390625" style="126" customWidth="1"/>
    <col min="4" max="4" width="21.57421875" style="126" customWidth="1"/>
    <col min="5" max="5" width="18.8515625" style="126" customWidth="1"/>
    <col min="6" max="6" width="10.57421875" style="126" customWidth="1"/>
    <col min="7" max="7" width="9.140625" style="0" customWidth="1"/>
    <col min="8" max="8" width="16.7109375" style="0" customWidth="1"/>
    <col min="9" max="9" width="14.8515625" style="0" customWidth="1"/>
  </cols>
  <sheetData>
    <row r="1" spans="1:6" ht="52.5" customHeight="1" thickBot="1">
      <c r="A1" s="520" t="s">
        <v>528</v>
      </c>
      <c r="B1" s="520"/>
      <c r="C1" s="520"/>
      <c r="D1" s="520"/>
      <c r="E1" s="520"/>
      <c r="F1" s="520"/>
    </row>
    <row r="2" spans="1:6" ht="18.75" customHeight="1" thickTop="1">
      <c r="A2" s="521" t="s">
        <v>59</v>
      </c>
      <c r="B2" s="523" t="s">
        <v>222</v>
      </c>
      <c r="C2" s="527" t="s">
        <v>489</v>
      </c>
      <c r="D2" s="527" t="s">
        <v>552</v>
      </c>
      <c r="E2" s="527" t="s">
        <v>553</v>
      </c>
      <c r="F2" s="525" t="s">
        <v>113</v>
      </c>
    </row>
    <row r="3" spans="1:6" ht="29.25" customHeight="1">
      <c r="A3" s="522"/>
      <c r="B3" s="524"/>
      <c r="C3" s="528"/>
      <c r="D3" s="528"/>
      <c r="E3" s="528"/>
      <c r="F3" s="526"/>
    </row>
    <row r="4" spans="1:6" s="5" customFormat="1" ht="12.75" customHeight="1">
      <c r="A4" s="183">
        <v>1</v>
      </c>
      <c r="B4" s="93">
        <v>2</v>
      </c>
      <c r="C4" s="188">
        <v>3</v>
      </c>
      <c r="D4" s="188">
        <v>4</v>
      </c>
      <c r="E4" s="188">
        <v>5</v>
      </c>
      <c r="F4" s="94" t="s">
        <v>539</v>
      </c>
    </row>
    <row r="5" spans="1:8" ht="18" customHeight="1">
      <c r="A5" s="466"/>
      <c r="B5" s="467" t="s">
        <v>284</v>
      </c>
      <c r="C5" s="468">
        <f>C6+C13+C18+C20</f>
        <v>14341000</v>
      </c>
      <c r="D5" s="468">
        <f>D6+D13+D18+D20</f>
        <v>14651942</v>
      </c>
      <c r="E5" s="468">
        <f>E6+E13+E18+E20</f>
        <v>15216500</v>
      </c>
      <c r="F5" s="469">
        <f>IF(C5&gt;0,E5/C5*100,0)</f>
        <v>106.10487413708947</v>
      </c>
      <c r="H5" s="1"/>
    </row>
    <row r="6" spans="1:8" ht="15" customHeight="1">
      <c r="A6" s="470">
        <v>710000</v>
      </c>
      <c r="B6" s="471" t="s">
        <v>239</v>
      </c>
      <c r="C6" s="472">
        <f>C7+C8+C9+C10+C11+C12</f>
        <v>10970000</v>
      </c>
      <c r="D6" s="472">
        <f>D7+D8+D9+D10+D11+D12</f>
        <v>10903500</v>
      </c>
      <c r="E6" s="472">
        <f>E7+E8+E9+E10+E11+E12</f>
        <v>11568700</v>
      </c>
      <c r="F6" s="473">
        <f aca="true" t="shared" si="0" ref="F6:F35">IF(C6&gt;0,E6/C6*100,0)</f>
        <v>105.45761166818596</v>
      </c>
      <c r="H6" s="1"/>
    </row>
    <row r="7" spans="1:8" ht="14.25" customHeight="1">
      <c r="A7" s="474">
        <v>711100</v>
      </c>
      <c r="B7" s="475" t="s">
        <v>201</v>
      </c>
      <c r="C7" s="476">
        <f>'B.pr. i prim. za nef. im.'!D7</f>
        <v>500</v>
      </c>
      <c r="D7" s="476">
        <f>'B.pr. i prim. za nef. im.'!E7</f>
        <v>200</v>
      </c>
      <c r="E7" s="476">
        <f>'B.pr. i prim. za nef. im.'!F7</f>
        <v>200</v>
      </c>
      <c r="F7" s="477">
        <f t="shared" si="0"/>
        <v>40</v>
      </c>
      <c r="H7" s="1"/>
    </row>
    <row r="8" spans="1:8" ht="30">
      <c r="A8" s="474">
        <v>713000</v>
      </c>
      <c r="B8" s="478" t="s">
        <v>4</v>
      </c>
      <c r="C8" s="476">
        <f>'B.pr. i prim. za nef. im.'!D9</f>
        <v>940000</v>
      </c>
      <c r="D8" s="476">
        <f>'B.pr. i prim. za nef. im.'!E9</f>
        <v>831000</v>
      </c>
      <c r="E8" s="476">
        <f>'B.pr. i prim. za nef. im.'!F9</f>
        <v>855000</v>
      </c>
      <c r="F8" s="477">
        <f t="shared" si="0"/>
        <v>90.95744680851064</v>
      </c>
      <c r="H8" s="1"/>
    </row>
    <row r="9" spans="1:8" ht="14.25" customHeight="1">
      <c r="A9" s="474">
        <v>714000</v>
      </c>
      <c r="B9" s="478" t="s">
        <v>8</v>
      </c>
      <c r="C9" s="476">
        <f>'B.pr. i prim. za nef. im.'!D12</f>
        <v>350000</v>
      </c>
      <c r="D9" s="476">
        <f>'B.pr. i prim. za nef. im.'!E12</f>
        <v>262000</v>
      </c>
      <c r="E9" s="476">
        <f>'B.pr. i prim. za nef. im.'!F12</f>
        <v>280000</v>
      </c>
      <c r="F9" s="477">
        <f t="shared" si="0"/>
        <v>80</v>
      </c>
      <c r="H9" s="1"/>
    </row>
    <row r="10" spans="1:8" ht="14.25" customHeight="1">
      <c r="A10" s="474">
        <v>715000</v>
      </c>
      <c r="B10" s="478" t="s">
        <v>166</v>
      </c>
      <c r="C10" s="476">
        <f>'B.pr. i prim. za nef. im.'!D14</f>
        <v>2000</v>
      </c>
      <c r="D10" s="476">
        <f>'B.pr. i prim. za nef. im.'!E14</f>
        <v>83300</v>
      </c>
      <c r="E10" s="476">
        <f>'B.pr. i prim. za nef. im.'!F14</f>
        <v>2500</v>
      </c>
      <c r="F10" s="477">
        <f t="shared" si="0"/>
        <v>125</v>
      </c>
      <c r="H10" s="1"/>
    </row>
    <row r="11" spans="1:8" ht="14.25" customHeight="1">
      <c r="A11" s="474">
        <v>717000</v>
      </c>
      <c r="B11" s="475" t="s">
        <v>363</v>
      </c>
      <c r="C11" s="476">
        <f>'B.pr. i prim. za nef. im.'!D18</f>
        <v>9670000</v>
      </c>
      <c r="D11" s="476">
        <f>'B.pr. i prim. za nef. im.'!E18</f>
        <v>9713000</v>
      </c>
      <c r="E11" s="476">
        <f>'B.pr. i prim. za nef. im.'!F18</f>
        <v>10420000</v>
      </c>
      <c r="F11" s="477">
        <f t="shared" si="0"/>
        <v>107.75594622543952</v>
      </c>
      <c r="H11" s="1"/>
    </row>
    <row r="12" spans="1:8" ht="14.25" customHeight="1">
      <c r="A12" s="474">
        <v>719000</v>
      </c>
      <c r="B12" s="478" t="s">
        <v>364</v>
      </c>
      <c r="C12" s="476">
        <f>'B.pr. i prim. za nef. im.'!D20</f>
        <v>7500</v>
      </c>
      <c r="D12" s="476">
        <f>'B.pr. i prim. za nef. im.'!E20</f>
        <v>14000</v>
      </c>
      <c r="E12" s="476">
        <f>'B.pr. i prim. za nef. im.'!F20</f>
        <v>11000</v>
      </c>
      <c r="F12" s="477">
        <f t="shared" si="0"/>
        <v>146.66666666666666</v>
      </c>
      <c r="H12" s="1"/>
    </row>
    <row r="13" spans="1:8" ht="15" customHeight="1">
      <c r="A13" s="470">
        <v>720000</v>
      </c>
      <c r="B13" s="471" t="s">
        <v>242</v>
      </c>
      <c r="C13" s="472">
        <f>C14+C15+C16+C17</f>
        <v>2380100</v>
      </c>
      <c r="D13" s="472">
        <f>D14+D15+D16+D17</f>
        <v>2382300</v>
      </c>
      <c r="E13" s="472">
        <f>E14+E15+E16+E17</f>
        <v>2462800</v>
      </c>
      <c r="F13" s="473">
        <f t="shared" si="0"/>
        <v>103.47464392252425</v>
      </c>
      <c r="H13" s="1"/>
    </row>
    <row r="14" spans="1:8" ht="14.25" customHeight="1">
      <c r="A14" s="479">
        <v>721000</v>
      </c>
      <c r="B14" s="475" t="s">
        <v>167</v>
      </c>
      <c r="C14" s="476">
        <f>'B.pr. i prim. za nef. im.'!D23</f>
        <v>182000</v>
      </c>
      <c r="D14" s="476">
        <f>'B.pr. i prim. za nef. im.'!E23</f>
        <v>175200</v>
      </c>
      <c r="E14" s="476">
        <f>'B.pr. i prim. za nef. im.'!F23</f>
        <v>216000</v>
      </c>
      <c r="F14" s="477">
        <f t="shared" si="0"/>
        <v>118.68131868131869</v>
      </c>
      <c r="H14" s="1"/>
    </row>
    <row r="15" spans="1:8" ht="14.25" customHeight="1">
      <c r="A15" s="479">
        <v>722000</v>
      </c>
      <c r="B15" s="480" t="s">
        <v>170</v>
      </c>
      <c r="C15" s="476">
        <f>'B.pr. i prim. za nef. im.'!D30</f>
        <v>2123100</v>
      </c>
      <c r="D15" s="476">
        <f>'B.pr. i prim. za nef. im.'!E30</f>
        <v>2107600</v>
      </c>
      <c r="E15" s="476">
        <f>'B.pr. i prim. za nef. im.'!F30</f>
        <v>2158800</v>
      </c>
      <c r="F15" s="477">
        <f t="shared" si="0"/>
        <v>101.6815034619189</v>
      </c>
      <c r="H15" s="1"/>
    </row>
    <row r="16" spans="1:8" ht="14.25" customHeight="1">
      <c r="A16" s="479">
        <v>723000</v>
      </c>
      <c r="B16" s="478" t="s">
        <v>20</v>
      </c>
      <c r="C16" s="481">
        <f>'B.pr. i prim. za nef. im.'!D62</f>
        <v>15000</v>
      </c>
      <c r="D16" s="481">
        <f>'B.pr. i prim. za nef. im.'!E62</f>
        <v>19500</v>
      </c>
      <c r="E16" s="481">
        <f>'B.pr. i prim. za nef. im.'!F62</f>
        <v>18000</v>
      </c>
      <c r="F16" s="477">
        <f t="shared" si="0"/>
        <v>120</v>
      </c>
      <c r="H16" s="1"/>
    </row>
    <row r="17" spans="1:8" ht="15">
      <c r="A17" s="479">
        <v>729000</v>
      </c>
      <c r="B17" s="480" t="s">
        <v>21</v>
      </c>
      <c r="C17" s="481">
        <f>'B.pr. i prim. za nef. im.'!D64</f>
        <v>60000</v>
      </c>
      <c r="D17" s="481">
        <f>'B.pr. i prim. za nef. im.'!E64</f>
        <v>80000</v>
      </c>
      <c r="E17" s="481">
        <f>'B.pr. i prim. za nef. im.'!F64</f>
        <v>70000</v>
      </c>
      <c r="F17" s="477">
        <f t="shared" si="0"/>
        <v>116.66666666666667</v>
      </c>
      <c r="H17" s="1"/>
    </row>
    <row r="18" spans="1:8" ht="15" customHeight="1">
      <c r="A18" s="482">
        <v>730000</v>
      </c>
      <c r="B18" s="483" t="s">
        <v>248</v>
      </c>
      <c r="C18" s="472">
        <f>C19</f>
        <v>0</v>
      </c>
      <c r="D18" s="472">
        <f>D19</f>
        <v>69232</v>
      </c>
      <c r="E18" s="472">
        <f>E19</f>
        <v>30000</v>
      </c>
      <c r="F18" s="473">
        <f t="shared" si="0"/>
        <v>0</v>
      </c>
      <c r="H18" s="1"/>
    </row>
    <row r="19" spans="1:8" ht="15" customHeight="1">
      <c r="A19" s="474">
        <v>731000</v>
      </c>
      <c r="B19" s="484" t="s">
        <v>148</v>
      </c>
      <c r="C19" s="476">
        <f>'B.pr. i prim. za nef. im.'!D66</f>
        <v>0</v>
      </c>
      <c r="D19" s="476">
        <f>'B.pr. i prim. za nef. im.'!E66</f>
        <v>69232</v>
      </c>
      <c r="E19" s="476">
        <f>'B.pr. i prim. za nef. im.'!F66</f>
        <v>30000</v>
      </c>
      <c r="F19" s="477">
        <f t="shared" si="0"/>
        <v>0</v>
      </c>
      <c r="H19" s="1"/>
    </row>
    <row r="20" spans="1:9" s="2" customFormat="1" ht="15" customHeight="1">
      <c r="A20" s="482">
        <v>780000</v>
      </c>
      <c r="B20" s="485" t="s">
        <v>365</v>
      </c>
      <c r="C20" s="472">
        <f>C21</f>
        <v>990900</v>
      </c>
      <c r="D20" s="472">
        <f>D21</f>
        <v>1296910</v>
      </c>
      <c r="E20" s="472">
        <f>E21</f>
        <v>1155000</v>
      </c>
      <c r="F20" s="473">
        <f t="shared" si="0"/>
        <v>116.56070239176506</v>
      </c>
      <c r="H20" s="1"/>
      <c r="I20"/>
    </row>
    <row r="21" spans="1:9" s="2" customFormat="1" ht="15" customHeight="1">
      <c r="A21" s="474">
        <v>787000</v>
      </c>
      <c r="B21" s="478" t="s">
        <v>366</v>
      </c>
      <c r="C21" s="476">
        <f>'B.pr. i prim. za nef. im.'!D78</f>
        <v>990900</v>
      </c>
      <c r="D21" s="476">
        <f>'B.pr. i prim. za nef. im.'!E78</f>
        <v>1296910</v>
      </c>
      <c r="E21" s="476">
        <f>'B.pr. i prim. za nef. im.'!F78</f>
        <v>1155000</v>
      </c>
      <c r="F21" s="477">
        <f t="shared" si="0"/>
        <v>116.56070239176506</v>
      </c>
      <c r="H21" s="1"/>
      <c r="I21"/>
    </row>
    <row r="22" spans="1:9" s="2" customFormat="1" ht="15" customHeight="1">
      <c r="A22" s="479"/>
      <c r="B22" s="467" t="s">
        <v>369</v>
      </c>
      <c r="C22" s="486">
        <f>C23+C32+C34</f>
        <v>11560000</v>
      </c>
      <c r="D22" s="486">
        <f>D23+D32+D34</f>
        <v>12064670</v>
      </c>
      <c r="E22" s="486">
        <f>E23+E32+E34</f>
        <v>12637550</v>
      </c>
      <c r="F22" s="469">
        <f t="shared" si="0"/>
        <v>109.32136678200692</v>
      </c>
      <c r="H22" s="1"/>
      <c r="I22"/>
    </row>
    <row r="23" spans="1:9" s="2" customFormat="1" ht="15" customHeight="1">
      <c r="A23" s="470">
        <v>410000</v>
      </c>
      <c r="B23" s="487" t="s">
        <v>285</v>
      </c>
      <c r="C23" s="472">
        <f>SUM(C24:C31)</f>
        <v>11217800</v>
      </c>
      <c r="D23" s="472">
        <f>SUM(D24:D31)</f>
        <v>11908760</v>
      </c>
      <c r="E23" s="472">
        <f>SUM(E24:E31)</f>
        <v>12305250</v>
      </c>
      <c r="F23" s="473">
        <f t="shared" si="0"/>
        <v>109.69396851432545</v>
      </c>
      <c r="H23" s="1"/>
      <c r="I23"/>
    </row>
    <row r="24" spans="1:9" s="2" customFormat="1" ht="14.25" customHeight="1">
      <c r="A24" s="474">
        <v>411000</v>
      </c>
      <c r="B24" s="484" t="s">
        <v>133</v>
      </c>
      <c r="C24" s="476">
        <f>'B.rash. i izdaci za nef. im.'!C6</f>
        <v>4096500</v>
      </c>
      <c r="D24" s="476">
        <f>'B.rash. i izdaci za nef. im.'!D6</f>
        <v>4294400</v>
      </c>
      <c r="E24" s="476">
        <f>'B.rash. i izdaci za nef. im.'!E6</f>
        <v>4489500</v>
      </c>
      <c r="F24" s="477">
        <f t="shared" si="0"/>
        <v>109.59355547418528</v>
      </c>
      <c r="H24" s="1"/>
      <c r="I24" s="1"/>
    </row>
    <row r="25" spans="1:9" s="2" customFormat="1" ht="15">
      <c r="A25" s="474">
        <v>412000</v>
      </c>
      <c r="B25" s="488" t="s">
        <v>134</v>
      </c>
      <c r="C25" s="489">
        <f>'B.rash. i izdaci za nef. im.'!C11</f>
        <v>2556500</v>
      </c>
      <c r="D25" s="489">
        <f>'B.rash. i izdaci za nef. im.'!D11</f>
        <v>2604782</v>
      </c>
      <c r="E25" s="489">
        <f>'B.rash. i izdaci za nef. im.'!E11</f>
        <v>2742450</v>
      </c>
      <c r="F25" s="477">
        <f t="shared" si="0"/>
        <v>107.27361627224721</v>
      </c>
      <c r="H25" s="1"/>
      <c r="I25"/>
    </row>
    <row r="26" spans="1:9" s="2" customFormat="1" ht="15">
      <c r="A26" s="474">
        <v>413000</v>
      </c>
      <c r="B26" s="475" t="s">
        <v>144</v>
      </c>
      <c r="C26" s="476">
        <f>'B.rash. i izdaci za nef. im.'!C21</f>
        <v>245500</v>
      </c>
      <c r="D26" s="476">
        <f>'B.rash. i izdaci za nef. im.'!D21</f>
        <v>233700</v>
      </c>
      <c r="E26" s="476">
        <f>'B.rash. i izdaci za nef. im.'!E21</f>
        <v>215000</v>
      </c>
      <c r="F26" s="477">
        <f t="shared" si="0"/>
        <v>87.57637474541752</v>
      </c>
      <c r="H26" s="1"/>
      <c r="I26"/>
    </row>
    <row r="27" spans="1:9" s="2" customFormat="1" ht="15">
      <c r="A27" s="474">
        <v>414000</v>
      </c>
      <c r="B27" s="484" t="s">
        <v>189</v>
      </c>
      <c r="C27" s="476">
        <f>'B.rash. i izdaci za nef. im.'!C25</f>
        <v>475000</v>
      </c>
      <c r="D27" s="476">
        <f>'B.rash. i izdaci za nef. im.'!D25</f>
        <v>510220</v>
      </c>
      <c r="E27" s="476">
        <f>'B.rash. i izdaci za nef. im.'!E25</f>
        <v>614700</v>
      </c>
      <c r="F27" s="477">
        <f t="shared" si="0"/>
        <v>129.41052631578947</v>
      </c>
      <c r="H27" s="1"/>
      <c r="I27"/>
    </row>
    <row r="28" spans="1:9" s="2" customFormat="1" ht="15">
      <c r="A28" s="474">
        <v>415000</v>
      </c>
      <c r="B28" s="488" t="s">
        <v>148</v>
      </c>
      <c r="C28" s="476">
        <f>'B.rash. i izdaci za nef. im.'!C27</f>
        <v>1003800</v>
      </c>
      <c r="D28" s="476">
        <f>'B.rash. i izdaci za nef. im.'!D27</f>
        <v>1139311</v>
      </c>
      <c r="E28" s="476">
        <f>'B.rash. i izdaci za nef. im.'!E27</f>
        <v>1193600</v>
      </c>
      <c r="F28" s="477">
        <f t="shared" si="0"/>
        <v>118.90814903367203</v>
      </c>
      <c r="H28" s="1"/>
      <c r="I28"/>
    </row>
    <row r="29" spans="1:9" s="2" customFormat="1" ht="14.25" customHeight="1">
      <c r="A29" s="474">
        <v>416000</v>
      </c>
      <c r="B29" s="484" t="s">
        <v>157</v>
      </c>
      <c r="C29" s="476">
        <f>'B.rash. i izdaci za nef. im.'!C29</f>
        <v>2634000</v>
      </c>
      <c r="D29" s="476">
        <f>'B.rash. i izdaci za nef. im.'!D29</f>
        <v>2868792</v>
      </c>
      <c r="E29" s="476">
        <f>'B.rash. i izdaci za nef. im.'!E29</f>
        <v>2842000</v>
      </c>
      <c r="F29" s="477">
        <f t="shared" si="0"/>
        <v>107.89673500379651</v>
      </c>
      <c r="H29" s="1"/>
      <c r="I29"/>
    </row>
    <row r="30" spans="1:9" s="2" customFormat="1" ht="42" customHeight="1">
      <c r="A30" s="474">
        <v>418000</v>
      </c>
      <c r="B30" s="484" t="s">
        <v>367</v>
      </c>
      <c r="C30" s="489">
        <f>'B.rash. i izdaci za nef. im.'!C32</f>
        <v>54000</v>
      </c>
      <c r="D30" s="489">
        <f>'B.rash. i izdaci za nef. im.'!D32</f>
        <v>39055</v>
      </c>
      <c r="E30" s="489">
        <f>'B.rash. i izdaci za nef. im.'!E32</f>
        <v>37000</v>
      </c>
      <c r="F30" s="477">
        <f t="shared" si="0"/>
        <v>68.51851851851852</v>
      </c>
      <c r="H30" s="1"/>
      <c r="I30"/>
    </row>
    <row r="31" spans="1:9" s="2" customFormat="1" ht="14.25" customHeight="1">
      <c r="A31" s="474">
        <v>419000</v>
      </c>
      <c r="B31" s="484" t="s">
        <v>368</v>
      </c>
      <c r="C31" s="476">
        <f>'B.rash. i izdaci za nef. im.'!C35</f>
        <v>152500</v>
      </c>
      <c r="D31" s="476">
        <f>'B.rash. i izdaci za nef. im.'!D35</f>
        <v>218500</v>
      </c>
      <c r="E31" s="476">
        <f>'B.rash. i izdaci za nef. im.'!E35</f>
        <v>171000</v>
      </c>
      <c r="F31" s="477">
        <f t="shared" si="0"/>
        <v>112.1311475409836</v>
      </c>
      <c r="H31" s="1"/>
      <c r="I31"/>
    </row>
    <row r="32" spans="1:9" s="2" customFormat="1" ht="16.5" customHeight="1">
      <c r="A32" s="470">
        <v>480000</v>
      </c>
      <c r="B32" s="487" t="s">
        <v>371</v>
      </c>
      <c r="C32" s="472">
        <f>SUM(C33)</f>
        <v>162200</v>
      </c>
      <c r="D32" s="472">
        <f>SUM(D33)</f>
        <v>145910</v>
      </c>
      <c r="E32" s="472">
        <f>SUM(E33)</f>
        <v>152300</v>
      </c>
      <c r="F32" s="473">
        <f t="shared" si="0"/>
        <v>93.8964241676942</v>
      </c>
      <c r="H32" s="1"/>
      <c r="I32"/>
    </row>
    <row r="33" spans="1:9" s="2" customFormat="1" ht="16.5" customHeight="1">
      <c r="A33" s="474">
        <v>487000</v>
      </c>
      <c r="B33" s="484" t="s">
        <v>366</v>
      </c>
      <c r="C33" s="476">
        <f>'B.rash. i izdaci za nef. im.'!C37</f>
        <v>162200</v>
      </c>
      <c r="D33" s="476">
        <f>'B.rash. i izdaci za nef. im.'!D37</f>
        <v>145910</v>
      </c>
      <c r="E33" s="476">
        <f>'B.rash. i izdaci za nef. im.'!E37</f>
        <v>152300</v>
      </c>
      <c r="F33" s="477">
        <f t="shared" si="0"/>
        <v>93.8964241676942</v>
      </c>
      <c r="H33" s="1"/>
      <c r="I33"/>
    </row>
    <row r="34" spans="1:9" s="2" customFormat="1" ht="15.75" customHeight="1">
      <c r="A34" s="470" t="s">
        <v>209</v>
      </c>
      <c r="B34" s="487" t="s">
        <v>370</v>
      </c>
      <c r="C34" s="472">
        <f>'B.rash. i izdaci za nef. im.'!C42</f>
        <v>180000</v>
      </c>
      <c r="D34" s="472">
        <f>'B.rash. i izdaci za nef. im.'!D42</f>
        <v>10000</v>
      </c>
      <c r="E34" s="472">
        <f>'B.rash. i izdaci za nef. im.'!E42</f>
        <v>180000</v>
      </c>
      <c r="F34" s="473">
        <f t="shared" si="0"/>
        <v>100</v>
      </c>
      <c r="H34" s="1"/>
      <c r="I34"/>
    </row>
    <row r="35" spans="1:9" s="2" customFormat="1" ht="16.5" customHeight="1">
      <c r="A35" s="479"/>
      <c r="B35" s="490" t="s">
        <v>286</v>
      </c>
      <c r="C35" s="491">
        <f>C5-C22</f>
        <v>2781000</v>
      </c>
      <c r="D35" s="491">
        <f>D5-D22</f>
        <v>2587272</v>
      </c>
      <c r="E35" s="491">
        <f>E5-E22</f>
        <v>2578950</v>
      </c>
      <c r="F35" s="492">
        <f t="shared" si="0"/>
        <v>92.73462783171522</v>
      </c>
      <c r="H35" s="1"/>
      <c r="I35"/>
    </row>
    <row r="36" spans="1:9" s="2" customFormat="1" ht="16.5" customHeight="1">
      <c r="A36" s="479"/>
      <c r="B36" s="493" t="s">
        <v>287</v>
      </c>
      <c r="C36" s="486">
        <f>C37-C41</f>
        <v>-1609000</v>
      </c>
      <c r="D36" s="486">
        <f>D37-D41</f>
        <v>-1804080</v>
      </c>
      <c r="E36" s="486">
        <f>E37-E41</f>
        <v>-1656500</v>
      </c>
      <c r="F36" s="494" t="s">
        <v>308</v>
      </c>
      <c r="H36" s="1"/>
      <c r="I36"/>
    </row>
    <row r="37" spans="1:8" ht="15" customHeight="1">
      <c r="A37" s="470">
        <v>810000</v>
      </c>
      <c r="B37" s="487" t="s">
        <v>250</v>
      </c>
      <c r="C37" s="472">
        <f>C38+C39+C40</f>
        <v>205000</v>
      </c>
      <c r="D37" s="472">
        <f>D38+D39+D40</f>
        <v>194000</v>
      </c>
      <c r="E37" s="472">
        <f>E38+E39+E40</f>
        <v>405500</v>
      </c>
      <c r="F37" s="473">
        <f aca="true" t="shared" si="1" ref="F37:F44">IF(C37&gt;0,E37/C37*100,0)</f>
        <v>197.8048780487805</v>
      </c>
      <c r="H37" s="1"/>
    </row>
    <row r="38" spans="1:8" ht="14.25" customHeight="1">
      <c r="A38" s="474">
        <v>811000</v>
      </c>
      <c r="B38" s="478" t="s">
        <v>185</v>
      </c>
      <c r="C38" s="476">
        <f>'B.pr. i prim. za nef. im.'!D90</f>
        <v>0</v>
      </c>
      <c r="D38" s="476">
        <f>'B.pr. i prim. za nef. im.'!E90</f>
        <v>0</v>
      </c>
      <c r="E38" s="476">
        <f>'B.pr. i prim. za nef. im.'!F90</f>
        <v>0</v>
      </c>
      <c r="F38" s="477">
        <f t="shared" si="1"/>
        <v>0</v>
      </c>
      <c r="H38" s="1"/>
    </row>
    <row r="39" spans="1:8" ht="14.25" customHeight="1">
      <c r="A39" s="474">
        <v>813000</v>
      </c>
      <c r="B39" s="478" t="s">
        <v>172</v>
      </c>
      <c r="C39" s="476">
        <f>'B.pr. i prim. za nef. im.'!D92</f>
        <v>200000</v>
      </c>
      <c r="D39" s="476">
        <f>'B.pr. i prim. za nef. im.'!E92</f>
        <v>188500</v>
      </c>
      <c r="E39" s="476">
        <f>'B.pr. i prim. za nef. im.'!F92</f>
        <v>400000</v>
      </c>
      <c r="F39" s="477">
        <f t="shared" si="1"/>
        <v>200</v>
      </c>
      <c r="H39" s="1"/>
    </row>
    <row r="40" spans="1:8" ht="29.25" customHeight="1">
      <c r="A40" s="474">
        <v>816000</v>
      </c>
      <c r="B40" s="478" t="s">
        <v>288</v>
      </c>
      <c r="C40" s="476">
        <f>'B.pr. i prim. za nef. im.'!D94</f>
        <v>5000</v>
      </c>
      <c r="D40" s="476">
        <f>'B.pr. i prim. za nef. im.'!E94</f>
        <v>5500</v>
      </c>
      <c r="E40" s="476">
        <f>'B.pr. i prim. za nef. im.'!F94</f>
        <v>5500</v>
      </c>
      <c r="F40" s="477">
        <f t="shared" si="1"/>
        <v>110.00000000000001</v>
      </c>
      <c r="H40" s="1"/>
    </row>
    <row r="41" spans="1:8" ht="16.5" customHeight="1">
      <c r="A41" s="470">
        <v>510000</v>
      </c>
      <c r="B41" s="487" t="s">
        <v>289</v>
      </c>
      <c r="C41" s="472">
        <f>SUM(C42:C44)</f>
        <v>1814000</v>
      </c>
      <c r="D41" s="472">
        <f>SUM(D42:D44)</f>
        <v>1998080</v>
      </c>
      <c r="E41" s="472">
        <f>SUM(E42:E44)</f>
        <v>2062000</v>
      </c>
      <c r="F41" s="473">
        <f t="shared" si="1"/>
        <v>113.67144432194047</v>
      </c>
      <c r="H41" s="1"/>
    </row>
    <row r="42" spans="1:8" ht="15">
      <c r="A42" s="474">
        <v>511000</v>
      </c>
      <c r="B42" s="478" t="s">
        <v>152</v>
      </c>
      <c r="C42" s="476">
        <f>'B.rash. i izdaci za nef. im.'!C44</f>
        <v>1687500</v>
      </c>
      <c r="D42" s="476">
        <f>'B.rash. i izdaci za nef. im.'!D44</f>
        <v>1950896</v>
      </c>
      <c r="E42" s="476">
        <f>'B.rash. i izdaci za nef. im.'!E44</f>
        <v>1973000</v>
      </c>
      <c r="F42" s="477">
        <f t="shared" si="1"/>
        <v>116.91851851851851</v>
      </c>
      <c r="H42" s="1"/>
    </row>
    <row r="43" spans="1:8" ht="15">
      <c r="A43" s="495">
        <v>513000</v>
      </c>
      <c r="B43" s="488" t="s">
        <v>179</v>
      </c>
      <c r="C43" s="476">
        <f>'B.rash. i izdaci za nef. im.'!C49</f>
        <v>110000</v>
      </c>
      <c r="D43" s="476">
        <f>'B.rash. i izdaci za nef. im.'!D49</f>
        <v>30650</v>
      </c>
      <c r="E43" s="476">
        <f>'B.rash. i izdaci za nef. im.'!E49</f>
        <v>70000</v>
      </c>
      <c r="F43" s="477">
        <f t="shared" si="1"/>
        <v>63.63636363636363</v>
      </c>
      <c r="H43" s="1"/>
    </row>
    <row r="44" spans="1:8" ht="32.25" customHeight="1">
      <c r="A44" s="495">
        <v>516000</v>
      </c>
      <c r="B44" s="484" t="s">
        <v>348</v>
      </c>
      <c r="C44" s="476">
        <f>'B.rash. i izdaci za nef. im.'!C51</f>
        <v>16500</v>
      </c>
      <c r="D44" s="476">
        <f>'B.rash. i izdaci za nef. im.'!D51</f>
        <v>16534</v>
      </c>
      <c r="E44" s="476">
        <f>'B.rash. i izdaci za nef. im.'!E51</f>
        <v>19000</v>
      </c>
      <c r="F44" s="477">
        <f t="shared" si="1"/>
        <v>115.15151515151516</v>
      </c>
      <c r="H44" s="1"/>
    </row>
    <row r="45" spans="1:8" ht="18.75" customHeight="1">
      <c r="A45" s="495"/>
      <c r="B45" s="490" t="s">
        <v>290</v>
      </c>
      <c r="C45" s="491">
        <f>C35+C36</f>
        <v>1172000</v>
      </c>
      <c r="D45" s="491">
        <f>D35+D36</f>
        <v>783192</v>
      </c>
      <c r="E45" s="491">
        <f>E35+E36</f>
        <v>922450</v>
      </c>
      <c r="F45" s="496" t="s">
        <v>308</v>
      </c>
      <c r="H45" s="1"/>
    </row>
    <row r="46" spans="1:8" ht="15.75" customHeight="1">
      <c r="A46" s="495"/>
      <c r="B46" s="467" t="s">
        <v>372</v>
      </c>
      <c r="C46" s="486">
        <f>C47+C52+C58+C65</f>
        <v>-1172000</v>
      </c>
      <c r="D46" s="486">
        <f>D47+D52+D58+D65</f>
        <v>-783191.9999999999</v>
      </c>
      <c r="E46" s="486">
        <f>E47+E52+E58+E65</f>
        <v>-922450</v>
      </c>
      <c r="F46" s="494" t="s">
        <v>308</v>
      </c>
      <c r="H46" s="1"/>
    </row>
    <row r="47" spans="1:8" ht="17.25" customHeight="1">
      <c r="A47" s="495"/>
      <c r="B47" s="467" t="s">
        <v>291</v>
      </c>
      <c r="C47" s="486">
        <f>C48-C50</f>
        <v>0</v>
      </c>
      <c r="D47" s="486">
        <f>D48-D50</f>
        <v>0</v>
      </c>
      <c r="E47" s="486">
        <f>E48-E50</f>
        <v>0</v>
      </c>
      <c r="F47" s="469">
        <f>IF(C47&gt;0,E47/C47*100,0)</f>
        <v>0</v>
      </c>
      <c r="H47" s="1"/>
    </row>
    <row r="48" spans="1:8" ht="15" customHeight="1">
      <c r="A48" s="470">
        <v>910000</v>
      </c>
      <c r="B48" s="487" t="s">
        <v>292</v>
      </c>
      <c r="C48" s="472">
        <f>SUM(C49)</f>
        <v>0</v>
      </c>
      <c r="D48" s="472">
        <f>SUM(D49)</f>
        <v>0</v>
      </c>
      <c r="E48" s="472">
        <f>SUM(E49)</f>
        <v>0</v>
      </c>
      <c r="F48" s="473">
        <f>IF(C48&gt;0,E48/C48*100,0)</f>
        <v>0</v>
      </c>
      <c r="H48" s="1"/>
    </row>
    <row r="49" spans="1:8" ht="14.25" customHeight="1">
      <c r="A49" s="497">
        <v>911000</v>
      </c>
      <c r="B49" s="498" t="s">
        <v>293</v>
      </c>
      <c r="C49" s="499">
        <f>Finansiranje!C7</f>
        <v>0</v>
      </c>
      <c r="D49" s="499">
        <f>Finansiranje!D7</f>
        <v>0</v>
      </c>
      <c r="E49" s="499">
        <f>Finansiranje!E7</f>
        <v>0</v>
      </c>
      <c r="F49" s="477">
        <f>IF(C49&gt;0,E49/C49*100,0)</f>
        <v>0</v>
      </c>
      <c r="H49" s="1"/>
    </row>
    <row r="50" spans="1:8" ht="14.25" customHeight="1">
      <c r="A50" s="470">
        <v>610000</v>
      </c>
      <c r="B50" s="487" t="s">
        <v>294</v>
      </c>
      <c r="C50" s="472">
        <f>SUM(C51)</f>
        <v>0</v>
      </c>
      <c r="D50" s="472">
        <f>SUM(D51)</f>
        <v>0</v>
      </c>
      <c r="E50" s="472">
        <f>SUM(E51)</f>
        <v>0</v>
      </c>
      <c r="F50" s="473">
        <f>IF(C50&gt;0,E50/C50*100,0)</f>
        <v>0</v>
      </c>
      <c r="H50" s="1"/>
    </row>
    <row r="51" spans="1:8" ht="14.25" customHeight="1">
      <c r="A51" s="497">
        <v>611000</v>
      </c>
      <c r="B51" s="498" t="s">
        <v>295</v>
      </c>
      <c r="C51" s="499">
        <f>Finansiranje!C9</f>
        <v>0</v>
      </c>
      <c r="D51" s="499">
        <f>Finansiranje!D9</f>
        <v>0</v>
      </c>
      <c r="E51" s="499">
        <f>Finansiranje!E9</f>
        <v>0</v>
      </c>
      <c r="F51" s="477">
        <f>IF(C51&gt;0,E51/C51*100,0)</f>
        <v>0</v>
      </c>
      <c r="H51" s="1"/>
    </row>
    <row r="52" spans="1:8" ht="14.25" customHeight="1">
      <c r="A52" s="497"/>
      <c r="B52" s="467" t="s">
        <v>296</v>
      </c>
      <c r="C52" s="486">
        <f>C53-C55</f>
        <v>-1582000</v>
      </c>
      <c r="D52" s="486">
        <f>D53-D55</f>
        <v>-1216469.22</v>
      </c>
      <c r="E52" s="486">
        <f>E53-E55</f>
        <v>-1036000</v>
      </c>
      <c r="F52" s="494" t="s">
        <v>308</v>
      </c>
      <c r="H52" s="1"/>
    </row>
    <row r="53" spans="1:8" ht="15" customHeight="1">
      <c r="A53" s="470">
        <v>920000</v>
      </c>
      <c r="B53" s="487" t="s">
        <v>299</v>
      </c>
      <c r="C53" s="472">
        <f>SUM(C54)</f>
        <v>0</v>
      </c>
      <c r="D53" s="472">
        <f>SUM(D54)</f>
        <v>320930.78</v>
      </c>
      <c r="E53" s="472">
        <f>SUM(E54)</f>
        <v>0</v>
      </c>
      <c r="F53" s="473">
        <f>IF(C53&gt;0,E53/C53*100,0)</f>
        <v>0</v>
      </c>
      <c r="H53" s="1"/>
    </row>
    <row r="54" spans="1:8" ht="14.25" customHeight="1">
      <c r="A54" s="497">
        <v>921000</v>
      </c>
      <c r="B54" s="500" t="s">
        <v>475</v>
      </c>
      <c r="C54" s="489">
        <f>Finansiranje!C12</f>
        <v>0</v>
      </c>
      <c r="D54" s="489">
        <f>Finansiranje!D12</f>
        <v>320930.78</v>
      </c>
      <c r="E54" s="489">
        <f>Finansiranje!E12</f>
        <v>0</v>
      </c>
      <c r="F54" s="477">
        <f>IF(C54&gt;0,E54/C54*100,0)</f>
        <v>0</v>
      </c>
      <c r="H54" s="1"/>
    </row>
    <row r="55" spans="1:8" ht="14.25" customHeight="1">
      <c r="A55" s="470">
        <v>620000</v>
      </c>
      <c r="B55" s="487" t="s">
        <v>297</v>
      </c>
      <c r="C55" s="501">
        <f>SUM(C56:C57)</f>
        <v>1582000</v>
      </c>
      <c r="D55" s="501">
        <f>SUM(D56:D57)</f>
        <v>1537400</v>
      </c>
      <c r="E55" s="501">
        <f>SUM(E56:E57)</f>
        <v>1036000</v>
      </c>
      <c r="F55" s="473">
        <f>IF(C55&gt;0,E55/C55*100,0)</f>
        <v>65.48672566371681</v>
      </c>
      <c r="H55" s="1"/>
    </row>
    <row r="56" spans="1:8" ht="15.75" customHeight="1">
      <c r="A56" s="497">
        <v>621000</v>
      </c>
      <c r="B56" s="500" t="s">
        <v>476</v>
      </c>
      <c r="C56" s="489">
        <f>Finansiranje!C15</f>
        <v>1405000</v>
      </c>
      <c r="D56" s="489">
        <f>Finansiranje!D15</f>
        <v>1360400</v>
      </c>
      <c r="E56" s="489">
        <f>Finansiranje!E15</f>
        <v>856000</v>
      </c>
      <c r="F56" s="477">
        <f>IF(C56&gt;0,E56/C56*100,0)</f>
        <v>60.92526690391459</v>
      </c>
      <c r="H56" s="1"/>
    </row>
    <row r="57" spans="1:8" ht="30.75" customHeight="1">
      <c r="A57" s="497">
        <v>628000</v>
      </c>
      <c r="B57" s="500" t="s">
        <v>471</v>
      </c>
      <c r="C57" s="489">
        <f>Finansiranje!C18</f>
        <v>177000</v>
      </c>
      <c r="D57" s="489">
        <f>Finansiranje!D18</f>
        <v>177000</v>
      </c>
      <c r="E57" s="489">
        <f>Finansiranje!E18</f>
        <v>180000</v>
      </c>
      <c r="F57" s="477">
        <f>IF(C57&gt;0,E57/C57*100,0)</f>
        <v>101.69491525423729</v>
      </c>
      <c r="H57" s="1"/>
    </row>
    <row r="58" spans="1:8" ht="14.25" customHeight="1">
      <c r="A58" s="497"/>
      <c r="B58" s="467" t="s">
        <v>373</v>
      </c>
      <c r="C58" s="486">
        <f>C59-C62</f>
        <v>-7000</v>
      </c>
      <c r="D58" s="486">
        <f>D59-D62</f>
        <v>-34190.42</v>
      </c>
      <c r="E58" s="486">
        <f>E59-E62</f>
        <v>-25450</v>
      </c>
      <c r="F58" s="494" t="s">
        <v>308</v>
      </c>
      <c r="H58" s="1"/>
    </row>
    <row r="59" spans="1:8" ht="14.25" customHeight="1">
      <c r="A59" s="470">
        <v>930000</v>
      </c>
      <c r="B59" s="487" t="s">
        <v>374</v>
      </c>
      <c r="C59" s="472">
        <f>SUM(C60:C61)</f>
        <v>87000</v>
      </c>
      <c r="D59" s="472">
        <f>SUM(D60:D61)</f>
        <v>105659.58</v>
      </c>
      <c r="E59" s="472">
        <f>SUM(E60:E61)</f>
        <v>139000</v>
      </c>
      <c r="F59" s="473">
        <f aca="true" t="shared" si="2" ref="F59:F65">IF(C59&gt;0,E59/C59*100,0)</f>
        <v>159.77011494252872</v>
      </c>
      <c r="H59" s="1"/>
    </row>
    <row r="60" spans="1:8" ht="14.25" customHeight="1">
      <c r="A60" s="474">
        <v>931000</v>
      </c>
      <c r="B60" s="478" t="s">
        <v>375</v>
      </c>
      <c r="C60" s="502">
        <f>Finansiranje!C23</f>
        <v>0</v>
      </c>
      <c r="D60" s="502">
        <f>Finansiranje!D23</f>
        <v>38347.75</v>
      </c>
      <c r="E60" s="502">
        <f>Finansiranje!E23</f>
        <v>0</v>
      </c>
      <c r="F60" s="477">
        <f t="shared" si="2"/>
        <v>0</v>
      </c>
      <c r="H60" s="1"/>
    </row>
    <row r="61" spans="1:8" ht="30">
      <c r="A61" s="474">
        <v>938000</v>
      </c>
      <c r="B61" s="500" t="s">
        <v>426</v>
      </c>
      <c r="C61" s="476">
        <f>Finansiranje!C24</f>
        <v>87000</v>
      </c>
      <c r="D61" s="476">
        <f>Finansiranje!D24</f>
        <v>67311.83</v>
      </c>
      <c r="E61" s="476">
        <f>Finansiranje!E24</f>
        <v>139000</v>
      </c>
      <c r="F61" s="477">
        <f t="shared" si="2"/>
        <v>159.77011494252872</v>
      </c>
      <c r="H61" s="1"/>
    </row>
    <row r="62" spans="1:8" ht="14.25" customHeight="1">
      <c r="A62" s="470">
        <v>630000</v>
      </c>
      <c r="B62" s="487" t="s">
        <v>376</v>
      </c>
      <c r="C62" s="501">
        <f>SUM(C63:C64)</f>
        <v>94000</v>
      </c>
      <c r="D62" s="501">
        <f>SUM(D63:D64)</f>
        <v>139850</v>
      </c>
      <c r="E62" s="501">
        <f>SUM(E63:E64)</f>
        <v>164450</v>
      </c>
      <c r="F62" s="473">
        <f t="shared" si="2"/>
        <v>174.9468085106383</v>
      </c>
      <c r="H62" s="1"/>
    </row>
    <row r="63" spans="1:8" ht="14.25" customHeight="1">
      <c r="A63" s="497">
        <v>631000</v>
      </c>
      <c r="B63" s="500" t="s">
        <v>377</v>
      </c>
      <c r="C63" s="489">
        <f>Finansiranje!C28</f>
        <v>4000</v>
      </c>
      <c r="D63" s="489">
        <f>Finansiranje!D28</f>
        <v>17500</v>
      </c>
      <c r="E63" s="489">
        <f>Finansiranje!E28</f>
        <v>5450</v>
      </c>
      <c r="F63" s="477">
        <f t="shared" si="2"/>
        <v>136.25</v>
      </c>
      <c r="H63" s="1"/>
    </row>
    <row r="64" spans="1:8" ht="30">
      <c r="A64" s="497">
        <v>638000</v>
      </c>
      <c r="B64" s="500" t="s">
        <v>382</v>
      </c>
      <c r="C64" s="489">
        <f>Finansiranje!C31</f>
        <v>90000</v>
      </c>
      <c r="D64" s="489">
        <f>Finansiranje!D31</f>
        <v>122350</v>
      </c>
      <c r="E64" s="489">
        <f>Finansiranje!E31</f>
        <v>159000</v>
      </c>
      <c r="F64" s="477">
        <f t="shared" si="2"/>
        <v>176.66666666666666</v>
      </c>
      <c r="H64" s="1"/>
    </row>
    <row r="65" spans="1:8" ht="21.75" customHeight="1">
      <c r="A65" s="497"/>
      <c r="B65" s="503" t="s">
        <v>513</v>
      </c>
      <c r="C65" s="486">
        <f>Finansiranje!C34</f>
        <v>417000</v>
      </c>
      <c r="D65" s="486">
        <f>Finansiranje!D34</f>
        <v>467467.64</v>
      </c>
      <c r="E65" s="486">
        <f>Finansiranje!E34</f>
        <v>139000</v>
      </c>
      <c r="F65" s="504">
        <f t="shared" si="2"/>
        <v>33.33333333333333</v>
      </c>
      <c r="H65" s="1"/>
    </row>
    <row r="66" spans="1:8" ht="20.25" customHeight="1" thickBot="1">
      <c r="A66" s="505"/>
      <c r="B66" s="506" t="s">
        <v>378</v>
      </c>
      <c r="C66" s="507">
        <f>C45+C46</f>
        <v>0</v>
      </c>
      <c r="D66" s="507">
        <f>D45+D46</f>
        <v>0</v>
      </c>
      <c r="E66" s="507">
        <f>E45+E46</f>
        <v>0</v>
      </c>
      <c r="F66" s="508" t="s">
        <v>308</v>
      </c>
      <c r="H66" s="1"/>
    </row>
    <row r="67" spans="1:6" ht="18" customHeight="1" thickTop="1">
      <c r="A67" s="127"/>
      <c r="B67" s="125"/>
      <c r="C67" s="128"/>
      <c r="D67" s="128"/>
      <c r="E67" s="128"/>
      <c r="F67" s="128"/>
    </row>
    <row r="68" spans="1:6" ht="18" customHeight="1">
      <c r="A68" s="3"/>
      <c r="B68" s="125"/>
      <c r="C68" s="125"/>
      <c r="D68" s="125"/>
      <c r="E68" s="125"/>
      <c r="F68" s="125"/>
    </row>
    <row r="69" spans="1:6" ht="14.25" customHeight="1">
      <c r="A69" s="3"/>
      <c r="B69" s="125"/>
      <c r="C69" s="125"/>
      <c r="D69" s="125"/>
      <c r="E69" s="125"/>
      <c r="F69" s="125"/>
    </row>
    <row r="70" spans="1:9" ht="16.5" customHeight="1">
      <c r="A70" s="3"/>
      <c r="B70" s="279"/>
      <c r="C70" s="125"/>
      <c r="D70" s="125"/>
      <c r="E70" s="125"/>
      <c r="F70" s="125"/>
      <c r="I70" s="1"/>
    </row>
    <row r="71" spans="1:6" ht="16.5" customHeight="1">
      <c r="A71" s="4"/>
      <c r="C71" s="128"/>
      <c r="D71" s="128"/>
      <c r="E71" s="128"/>
      <c r="F71" s="128"/>
    </row>
    <row r="72" spans="1:2" ht="15.75" customHeight="1">
      <c r="A72" s="128"/>
      <c r="B72" s="128"/>
    </row>
    <row r="73" spans="1:2" ht="12.75">
      <c r="A73" s="128"/>
      <c r="B73" s="128"/>
    </row>
    <row r="74" spans="1:6" ht="17.25" customHeight="1">
      <c r="A74" s="128"/>
      <c r="B74" s="128"/>
      <c r="C74" s="128"/>
      <c r="D74" s="128"/>
      <c r="E74" s="128"/>
      <c r="F74" s="128"/>
    </row>
    <row r="75" spans="1:6" ht="12.75">
      <c r="A75" s="128"/>
      <c r="B75" s="128"/>
      <c r="C75" s="128"/>
      <c r="D75" s="128"/>
      <c r="E75" s="128"/>
      <c r="F75" s="128"/>
    </row>
    <row r="76" spans="1:6" ht="12.75">
      <c r="A76" s="128"/>
      <c r="B76" s="128"/>
      <c r="C76" s="129"/>
      <c r="D76" s="129"/>
      <c r="E76" s="129"/>
      <c r="F76" s="129"/>
    </row>
    <row r="77" spans="1:2" ht="12.75">
      <c r="A77" s="128"/>
      <c r="B77" s="128"/>
    </row>
    <row r="78" spans="1:2" ht="23.25" customHeight="1">
      <c r="A78" s="128"/>
      <c r="B78" s="128"/>
    </row>
    <row r="79" spans="1:2" ht="16.5" customHeight="1">
      <c r="A79" s="128"/>
      <c r="B79" s="128"/>
    </row>
    <row r="80" spans="1:2" ht="12.75">
      <c r="A80" s="128"/>
      <c r="B80" s="128"/>
    </row>
    <row r="81" spans="1:2" ht="12.75">
      <c r="A81" s="128"/>
      <c r="B81" s="128"/>
    </row>
    <row r="82" spans="1:2" ht="15" customHeight="1">
      <c r="A82" s="128"/>
      <c r="B82" s="128"/>
    </row>
    <row r="83" spans="1:2" ht="12.75">
      <c r="A83" s="128"/>
      <c r="B83" s="128"/>
    </row>
    <row r="84" spans="1:2" ht="26.25" customHeight="1">
      <c r="A84" s="128"/>
      <c r="B84" s="128"/>
    </row>
    <row r="85" spans="1:2" ht="12.75">
      <c r="A85" s="128"/>
      <c r="B85" s="128"/>
    </row>
    <row r="86" spans="1:2" ht="12.75">
      <c r="A86" s="128"/>
      <c r="B86" s="128"/>
    </row>
    <row r="87" spans="1:2" ht="12.75">
      <c r="A87" s="128"/>
      <c r="B87" s="128"/>
    </row>
    <row r="88" spans="1:2" ht="12.75">
      <c r="A88" s="128"/>
      <c r="B88" s="128"/>
    </row>
    <row r="89" spans="1:2" ht="12.75">
      <c r="A89" s="128"/>
      <c r="B89" s="128"/>
    </row>
    <row r="90" spans="1:2" ht="12.75">
      <c r="A90" s="128"/>
      <c r="B90" s="128"/>
    </row>
    <row r="91" spans="1:2" ht="15.75" customHeight="1">
      <c r="A91" s="128"/>
      <c r="B91" s="128"/>
    </row>
    <row r="92" spans="1:7" ht="12.75">
      <c r="A92" s="128"/>
      <c r="B92" s="128"/>
      <c r="G92" s="2"/>
    </row>
    <row r="93" spans="1:2" ht="12.75">
      <c r="A93" s="128"/>
      <c r="B93" s="128"/>
    </row>
    <row r="94" spans="1:2" ht="12.75">
      <c r="A94" s="128"/>
      <c r="B94" s="128"/>
    </row>
    <row r="95" spans="1:2" ht="12.75" customHeight="1">
      <c r="A95" s="128"/>
      <c r="B95" s="128"/>
    </row>
    <row r="96" spans="1:2" ht="12.75">
      <c r="A96" s="128"/>
      <c r="B96" s="128"/>
    </row>
    <row r="97" spans="1:2" ht="12.75">
      <c r="A97" s="128"/>
      <c r="B97" s="128"/>
    </row>
    <row r="98" spans="1:2" ht="12.75">
      <c r="A98" s="128"/>
      <c r="B98" s="128"/>
    </row>
    <row r="99" spans="1:2" ht="12.75">
      <c r="A99" s="128"/>
      <c r="B99" s="128"/>
    </row>
    <row r="100" spans="1:2" ht="12.75">
      <c r="A100" s="128"/>
      <c r="B100" s="128"/>
    </row>
    <row r="101" spans="1:2" ht="12.75">
      <c r="A101" s="128"/>
      <c r="B101" s="128"/>
    </row>
    <row r="102" spans="1:2" ht="12.75">
      <c r="A102" s="128"/>
      <c r="B102" s="128"/>
    </row>
    <row r="103" spans="1:2" ht="12.75">
      <c r="A103" s="128"/>
      <c r="B103" s="128"/>
    </row>
    <row r="104" spans="1:2" ht="12.75">
      <c r="A104" s="128"/>
      <c r="B104" s="128"/>
    </row>
    <row r="105" spans="1:2" ht="12.75">
      <c r="A105" s="128"/>
      <c r="B105" s="128"/>
    </row>
    <row r="106" spans="1:2" ht="12.75">
      <c r="A106" s="128"/>
      <c r="B106" s="128"/>
    </row>
    <row r="107" spans="1:2" ht="12.75">
      <c r="A107" s="128"/>
      <c r="B107" s="128"/>
    </row>
    <row r="108" spans="1:8" s="126" customFormat="1" ht="12.75">
      <c r="A108" s="128"/>
      <c r="B108" s="128"/>
      <c r="G108"/>
      <c r="H108"/>
    </row>
    <row r="109" spans="1:8" s="126" customFormat="1" ht="12.75">
      <c r="A109" s="128"/>
      <c r="B109" s="128"/>
      <c r="G109"/>
      <c r="H109"/>
    </row>
    <row r="110" spans="1:8" s="126" customFormat="1" ht="12.75">
      <c r="A110" s="128"/>
      <c r="B110" s="128"/>
      <c r="G110"/>
      <c r="H110"/>
    </row>
    <row r="111" spans="1:8" s="126" customFormat="1" ht="12.75">
      <c r="A111" s="128"/>
      <c r="B111" s="128"/>
      <c r="G111"/>
      <c r="H111"/>
    </row>
    <row r="112" spans="1:8" s="126" customFormat="1" ht="12.75">
      <c r="A112" s="128"/>
      <c r="B112" s="128"/>
      <c r="G112"/>
      <c r="H112"/>
    </row>
    <row r="113" spans="1:8" s="126" customFormat="1" ht="12.75">
      <c r="A113" s="128"/>
      <c r="B113" s="128"/>
      <c r="G113"/>
      <c r="H113"/>
    </row>
    <row r="114" spans="1:8" s="126" customFormat="1" ht="12.75">
      <c r="A114" s="128"/>
      <c r="B114" s="128"/>
      <c r="G114"/>
      <c r="H114"/>
    </row>
    <row r="115" spans="1:8" s="126" customFormat="1" ht="12.75">
      <c r="A115" s="128"/>
      <c r="B115" s="128"/>
      <c r="G115"/>
      <c r="H115"/>
    </row>
    <row r="116" spans="1:8" s="126" customFormat="1" ht="12.75">
      <c r="A116" s="128"/>
      <c r="B116" s="128"/>
      <c r="G116"/>
      <c r="H116"/>
    </row>
    <row r="117" spans="1:8" s="126" customFormat="1" ht="12.75">
      <c r="A117" s="128"/>
      <c r="B117" s="128"/>
      <c r="G117"/>
      <c r="H117"/>
    </row>
    <row r="118" spans="1:8" s="126" customFormat="1" ht="12.75">
      <c r="A118" s="128"/>
      <c r="B118" s="128"/>
      <c r="G118"/>
      <c r="H118"/>
    </row>
    <row r="119" spans="1:8" s="126" customFormat="1" ht="12.75">
      <c r="A119" s="128"/>
      <c r="B119" s="128"/>
      <c r="G119"/>
      <c r="H119"/>
    </row>
    <row r="120" spans="1:8" s="126" customFormat="1" ht="12.75">
      <c r="A120" s="128"/>
      <c r="B120" s="128"/>
      <c r="G120"/>
      <c r="H120"/>
    </row>
    <row r="121" spans="1:8" s="126" customFormat="1" ht="12.75">
      <c r="A121" s="128"/>
      <c r="B121" s="128"/>
      <c r="G121"/>
      <c r="H121"/>
    </row>
    <row r="122" spans="1:8" s="126" customFormat="1" ht="12.75">
      <c r="A122" s="128"/>
      <c r="B122" s="128"/>
      <c r="G122"/>
      <c r="H122"/>
    </row>
    <row r="123" spans="1:8" s="126" customFormat="1" ht="12.75">
      <c r="A123" s="128"/>
      <c r="B123" s="128"/>
      <c r="G123"/>
      <c r="H123"/>
    </row>
    <row r="124" spans="1:8" s="126" customFormat="1" ht="12.75">
      <c r="A124" s="128"/>
      <c r="B124" s="128"/>
      <c r="G124"/>
      <c r="H124"/>
    </row>
    <row r="125" spans="1:8" s="126" customFormat="1" ht="12.75">
      <c r="A125" s="128"/>
      <c r="B125" s="128"/>
      <c r="G125"/>
      <c r="H125"/>
    </row>
    <row r="126" spans="1:8" s="126" customFormat="1" ht="12.75">
      <c r="A126" s="128"/>
      <c r="B126" s="128"/>
      <c r="G126"/>
      <c r="H126"/>
    </row>
    <row r="127" spans="1:8" s="126" customFormat="1" ht="12.75">
      <c r="A127" s="128"/>
      <c r="B127" s="128"/>
      <c r="G127"/>
      <c r="H127"/>
    </row>
    <row r="128" spans="1:8" s="126" customFormat="1" ht="12.75">
      <c r="A128" s="128"/>
      <c r="B128" s="128"/>
      <c r="G128"/>
      <c r="H128"/>
    </row>
    <row r="129" spans="1:8" s="126" customFormat="1" ht="12.75">
      <c r="A129" s="128"/>
      <c r="B129" s="128"/>
      <c r="G129"/>
      <c r="H129"/>
    </row>
    <row r="130" spans="1:8" s="126" customFormat="1" ht="12.75">
      <c r="A130" s="128"/>
      <c r="B130" s="128"/>
      <c r="G130"/>
      <c r="H130"/>
    </row>
    <row r="131" spans="1:8" s="126" customFormat="1" ht="12.75">
      <c r="A131" s="128"/>
      <c r="B131" s="128"/>
      <c r="G131"/>
      <c r="H131"/>
    </row>
    <row r="132" spans="1:8" s="126" customFormat="1" ht="12.75">
      <c r="A132" s="128"/>
      <c r="B132" s="128"/>
      <c r="G132"/>
      <c r="H132"/>
    </row>
    <row r="133" spans="1:8" s="126" customFormat="1" ht="12.75">
      <c r="A133" s="128"/>
      <c r="B133" s="128"/>
      <c r="G133"/>
      <c r="H133"/>
    </row>
    <row r="134" spans="1:8" s="126" customFormat="1" ht="12.75">
      <c r="A134" s="128"/>
      <c r="B134" s="128"/>
      <c r="G134"/>
      <c r="H134"/>
    </row>
    <row r="135" spans="1:8" s="126" customFormat="1" ht="12.75">
      <c r="A135" s="128"/>
      <c r="B135" s="128"/>
      <c r="G135"/>
      <c r="H135"/>
    </row>
    <row r="136" spans="1:8" s="126" customFormat="1" ht="12.75">
      <c r="A136" s="128"/>
      <c r="B136" s="128"/>
      <c r="G136"/>
      <c r="H136"/>
    </row>
    <row r="137" spans="1:8" s="126" customFormat="1" ht="12.75">
      <c r="A137" s="128"/>
      <c r="B137" s="128"/>
      <c r="G137"/>
      <c r="H137"/>
    </row>
    <row r="138" spans="1:8" s="126" customFormat="1" ht="12.75">
      <c r="A138" s="128"/>
      <c r="B138" s="128"/>
      <c r="G138"/>
      <c r="H138"/>
    </row>
    <row r="139" spans="1:8" s="126" customFormat="1" ht="12.75">
      <c r="A139" s="128"/>
      <c r="B139" s="128"/>
      <c r="G139"/>
      <c r="H139"/>
    </row>
    <row r="140" spans="1:6" ht="12.75">
      <c r="A140" s="128"/>
      <c r="B140" s="3"/>
      <c r="C140" s="128"/>
      <c r="D140" s="128"/>
      <c r="E140" s="128"/>
      <c r="F140" s="128"/>
    </row>
    <row r="141" spans="1:6" ht="12.75">
      <c r="A141" s="4"/>
      <c r="B141" s="3"/>
      <c r="C141" s="128"/>
      <c r="D141" s="128"/>
      <c r="E141" s="128"/>
      <c r="F141" s="128"/>
    </row>
    <row r="142" spans="1:6" ht="12.75">
      <c r="A142" s="4"/>
      <c r="B142" s="3"/>
      <c r="C142" s="128"/>
      <c r="D142" s="128"/>
      <c r="E142" s="128"/>
      <c r="F142" s="128"/>
    </row>
    <row r="143" spans="1:6" ht="12.75">
      <c r="A143" s="4"/>
      <c r="B143" s="3"/>
      <c r="C143" s="128"/>
      <c r="D143" s="128"/>
      <c r="E143" s="128"/>
      <c r="F143" s="128"/>
    </row>
    <row r="144" spans="1:6" ht="12.75">
      <c r="A144" s="4"/>
      <c r="B144" s="3"/>
      <c r="C144" s="128"/>
      <c r="D144" s="128"/>
      <c r="E144" s="128"/>
      <c r="F144" s="128"/>
    </row>
    <row r="145" spans="1:6" ht="12.75">
      <c r="A145" s="4"/>
      <c r="B145" s="3"/>
      <c r="C145" s="128"/>
      <c r="D145" s="128"/>
      <c r="E145" s="128"/>
      <c r="F145" s="128"/>
    </row>
    <row r="146" spans="1:6" ht="12.75">
      <c r="A146" s="4"/>
      <c r="B146" s="3"/>
      <c r="C146" s="128"/>
      <c r="D146" s="128"/>
      <c r="E146" s="128"/>
      <c r="F146" s="128"/>
    </row>
    <row r="147" spans="1:6" ht="12.75">
      <c r="A147" s="4"/>
      <c r="B147" s="3"/>
      <c r="C147" s="128"/>
      <c r="D147" s="128"/>
      <c r="E147" s="128"/>
      <c r="F147" s="128"/>
    </row>
    <row r="148" spans="1:6" ht="12.75">
      <c r="A148" s="4"/>
      <c r="B148" s="3"/>
      <c r="C148" s="128"/>
      <c r="D148" s="128"/>
      <c r="E148" s="128"/>
      <c r="F148" s="128"/>
    </row>
    <row r="149" spans="1:6" ht="12.75">
      <c r="A149" s="4"/>
      <c r="B149" s="3"/>
      <c r="C149" s="128"/>
      <c r="D149" s="128"/>
      <c r="E149" s="128"/>
      <c r="F149" s="128"/>
    </row>
    <row r="150" spans="1:6" ht="12.75">
      <c r="A150" s="4"/>
      <c r="B150" s="3"/>
      <c r="C150" s="128"/>
      <c r="D150" s="128"/>
      <c r="E150" s="128"/>
      <c r="F150" s="128"/>
    </row>
    <row r="151" spans="1:6" ht="12.75">
      <c r="A151" s="4"/>
      <c r="B151" s="3"/>
      <c r="C151" s="128"/>
      <c r="D151" s="128"/>
      <c r="E151" s="128"/>
      <c r="F151" s="128"/>
    </row>
    <row r="152" spans="1:7" s="126" customFormat="1" ht="12.75">
      <c r="A152" s="4"/>
      <c r="B152" s="3"/>
      <c r="C152" s="128"/>
      <c r="D152" s="128"/>
      <c r="E152" s="128"/>
      <c r="F152" s="128"/>
      <c r="G152"/>
    </row>
    <row r="153" spans="1:7" s="126" customFormat="1" ht="12.75">
      <c r="A153" s="4"/>
      <c r="B153" s="3"/>
      <c r="C153" s="128"/>
      <c r="D153" s="128"/>
      <c r="E153" s="128"/>
      <c r="F153" s="128"/>
      <c r="G153"/>
    </row>
    <row r="154" spans="1:7" s="126" customFormat="1" ht="12.75">
      <c r="A154" s="4"/>
      <c r="B154" s="3"/>
      <c r="C154" s="128"/>
      <c r="D154" s="128"/>
      <c r="E154" s="128"/>
      <c r="F154" s="128"/>
      <c r="G154"/>
    </row>
    <row r="155" spans="1:7" s="126" customFormat="1" ht="12.75">
      <c r="A155" s="4"/>
      <c r="B155" s="3"/>
      <c r="C155" s="128"/>
      <c r="D155" s="128"/>
      <c r="E155" s="128"/>
      <c r="F155" s="128"/>
      <c r="G155"/>
    </row>
    <row r="156" spans="1:7" s="126" customFormat="1" ht="12.75">
      <c r="A156" s="4"/>
      <c r="B156" s="3"/>
      <c r="C156" s="128"/>
      <c r="D156" s="128"/>
      <c r="E156" s="128"/>
      <c r="F156" s="128"/>
      <c r="G156"/>
    </row>
    <row r="157" spans="1:7" s="126" customFormat="1" ht="12.75">
      <c r="A157" s="4"/>
      <c r="B157" s="3"/>
      <c r="C157" s="128"/>
      <c r="D157" s="128"/>
      <c r="E157" s="128"/>
      <c r="F157" s="128"/>
      <c r="G157"/>
    </row>
    <row r="158" spans="1:7" s="126" customFormat="1" ht="12.75">
      <c r="A158" s="4"/>
      <c r="B158" s="3"/>
      <c r="C158" s="128"/>
      <c r="D158" s="128"/>
      <c r="E158" s="128"/>
      <c r="F158" s="128"/>
      <c r="G158"/>
    </row>
    <row r="159" spans="1:7" s="126" customFormat="1" ht="12.75">
      <c r="A159" s="4"/>
      <c r="B159" s="3"/>
      <c r="C159" s="128"/>
      <c r="D159" s="128"/>
      <c r="E159" s="128"/>
      <c r="F159" s="128"/>
      <c r="G159"/>
    </row>
    <row r="160" spans="1:7" s="126" customFormat="1" ht="12.75">
      <c r="A160" s="4"/>
      <c r="B160" s="3"/>
      <c r="C160" s="128"/>
      <c r="D160" s="128"/>
      <c r="E160" s="128"/>
      <c r="F160" s="128"/>
      <c r="G160"/>
    </row>
    <row r="161" spans="1:7" s="126" customFormat="1" ht="12.75">
      <c r="A161" s="4"/>
      <c r="B161" s="3"/>
      <c r="C161" s="128"/>
      <c r="D161" s="128"/>
      <c r="E161" s="128"/>
      <c r="F161" s="128"/>
      <c r="G161"/>
    </row>
    <row r="162" spans="1:7" s="126" customFormat="1" ht="12.75">
      <c r="A162" s="4"/>
      <c r="B162" s="3"/>
      <c r="C162" s="128"/>
      <c r="D162" s="128"/>
      <c r="E162" s="128"/>
      <c r="F162" s="128"/>
      <c r="G162"/>
    </row>
    <row r="163" spans="1:7" s="126" customFormat="1" ht="12.75">
      <c r="A163" s="4"/>
      <c r="B163" s="3"/>
      <c r="C163" s="128"/>
      <c r="D163" s="128"/>
      <c r="E163" s="128"/>
      <c r="F163" s="128"/>
      <c r="G163"/>
    </row>
    <row r="164" spans="1:7" s="126" customFormat="1" ht="12.75">
      <c r="A164" s="4"/>
      <c r="B164" s="3"/>
      <c r="C164" s="128"/>
      <c r="D164" s="128"/>
      <c r="E164" s="128"/>
      <c r="F164" s="128"/>
      <c r="G164"/>
    </row>
    <row r="165" spans="1:7" s="126" customFormat="1" ht="12.75">
      <c r="A165" s="4"/>
      <c r="B165" s="3"/>
      <c r="C165" s="128"/>
      <c r="D165" s="128"/>
      <c r="E165" s="128"/>
      <c r="F165" s="128"/>
      <c r="G165"/>
    </row>
    <row r="166" spans="1:7" s="126" customFormat="1" ht="12.75">
      <c r="A166" s="4"/>
      <c r="B166"/>
      <c r="C166" s="128"/>
      <c r="D166" s="128"/>
      <c r="E166" s="128"/>
      <c r="F166" s="128"/>
      <c r="G166"/>
    </row>
  </sheetData>
  <sheetProtection/>
  <mergeCells count="7">
    <mergeCell ref="A1:F1"/>
    <mergeCell ref="A2:A3"/>
    <mergeCell ref="B2:B3"/>
    <mergeCell ref="F2:F3"/>
    <mergeCell ref="C2:C3"/>
    <mergeCell ref="E2:E3"/>
    <mergeCell ref="D2:D3"/>
  </mergeCells>
  <printOptions horizontalCentered="1"/>
  <pageMargins left="0.2755905511811024" right="0.15748031496062992" top="0.35433070866141736" bottom="0.2755905511811024" header="0.2755905511811024" footer="0.15748031496062992"/>
  <pageSetup horizontalDpi="600" verticalDpi="600" orientation="landscape" paperSize="9" r:id="rId1"/>
  <headerFooter alignWithMargins="0">
    <oddFooter>&amp;R&amp;P</oddFooter>
  </headerFooter>
  <rowBreaks count="3" manualBreakCount="3">
    <brk id="31" max="11" man="1"/>
    <brk id="57" max="11" man="1"/>
    <brk id="6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">
      <pane ySplit="3" topLeftCell="A4" activePane="bottomLeft" state="frozen"/>
      <selection pane="topLeft" activeCell="B41" sqref="B41"/>
      <selection pane="bottomLeft" activeCell="D108" sqref="D108"/>
    </sheetView>
  </sheetViews>
  <sheetFormatPr defaultColWidth="9.140625" defaultRowHeight="12.75"/>
  <cols>
    <col min="1" max="1" width="13.28125" style="0" customWidth="1"/>
    <col min="2" max="2" width="8.140625" style="0" customWidth="1"/>
    <col min="3" max="3" width="53.8515625" style="0" customWidth="1"/>
    <col min="4" max="6" width="17.421875" style="126" customWidth="1"/>
    <col min="7" max="7" width="10.57421875" style="126" customWidth="1"/>
    <col min="8" max="8" width="10.8515625" style="126" customWidth="1"/>
    <col min="9" max="9" width="14.28125" style="0" customWidth="1"/>
  </cols>
  <sheetData>
    <row r="1" spans="1:8" ht="39.75" customHeight="1" thickBot="1">
      <c r="A1" s="520" t="s">
        <v>529</v>
      </c>
      <c r="B1" s="520"/>
      <c r="C1" s="520"/>
      <c r="D1" s="520"/>
      <c r="E1" s="520"/>
      <c r="F1" s="520"/>
      <c r="G1" s="520"/>
      <c r="H1" s="520"/>
    </row>
    <row r="2" spans="1:8" ht="18.75" customHeight="1" thickTop="1">
      <c r="A2" s="529" t="s">
        <v>59</v>
      </c>
      <c r="B2" s="523" t="s">
        <v>283</v>
      </c>
      <c r="C2" s="523" t="s">
        <v>222</v>
      </c>
      <c r="D2" s="527" t="s">
        <v>489</v>
      </c>
      <c r="E2" s="527" t="s">
        <v>534</v>
      </c>
      <c r="F2" s="527" t="s">
        <v>553</v>
      </c>
      <c r="G2" s="527" t="s">
        <v>113</v>
      </c>
      <c r="H2" s="531" t="s">
        <v>125</v>
      </c>
    </row>
    <row r="3" spans="1:8" ht="36.75" customHeight="1">
      <c r="A3" s="530"/>
      <c r="B3" s="524"/>
      <c r="C3" s="524"/>
      <c r="D3" s="528"/>
      <c r="E3" s="528"/>
      <c r="F3" s="528"/>
      <c r="G3" s="528"/>
      <c r="H3" s="532"/>
    </row>
    <row r="4" spans="1:8" s="5" customFormat="1" ht="12.75" customHeight="1">
      <c r="A4" s="228">
        <v>1</v>
      </c>
      <c r="B4" s="93">
        <v>2</v>
      </c>
      <c r="C4" s="93">
        <v>3</v>
      </c>
      <c r="D4" s="93">
        <v>4</v>
      </c>
      <c r="E4" s="93">
        <v>5</v>
      </c>
      <c r="F4" s="93">
        <v>6</v>
      </c>
      <c r="G4" s="93" t="s">
        <v>540</v>
      </c>
      <c r="H4" s="94">
        <v>8</v>
      </c>
    </row>
    <row r="5" spans="1:8" ht="19.5" customHeight="1">
      <c r="A5" s="229"/>
      <c r="B5" s="21"/>
      <c r="C5" s="138" t="s">
        <v>284</v>
      </c>
      <c r="D5" s="139">
        <f>D6+D22+D66+D78</f>
        <v>14341000</v>
      </c>
      <c r="E5" s="139">
        <f>E6+E22+E66+E78</f>
        <v>14651942</v>
      </c>
      <c r="F5" s="139">
        <f>F6+F22+F66+F78</f>
        <v>15216500</v>
      </c>
      <c r="G5" s="139">
        <f>IF(D5&gt;0,F5/D5*100,0)</f>
        <v>106.10487413708947</v>
      </c>
      <c r="H5" s="184">
        <f>F5/$F$96*100</f>
        <v>97.40430162591217</v>
      </c>
    </row>
    <row r="6" spans="1:8" ht="15" customHeight="1">
      <c r="A6" s="230">
        <v>710000</v>
      </c>
      <c r="B6" s="19"/>
      <c r="C6" s="48" t="s">
        <v>239</v>
      </c>
      <c r="D6" s="57">
        <f>D7+D9+D12+D14+D18+D20</f>
        <v>10970000</v>
      </c>
      <c r="E6" s="57">
        <f>E7+E9+E12+E14+E18+E20</f>
        <v>10903500</v>
      </c>
      <c r="F6" s="57">
        <f>F7+F9+F12+F14+F18+F20</f>
        <v>11568700</v>
      </c>
      <c r="G6" s="432">
        <f aca="true" t="shared" si="0" ref="G6:G70">IF(D6&gt;0,F6/D6*100,0)</f>
        <v>105.45761166818596</v>
      </c>
      <c r="H6" s="317">
        <f aca="true" t="shared" si="1" ref="H6:H71">F6/$F$96*100</f>
        <v>74.0538983484829</v>
      </c>
    </row>
    <row r="7" spans="1:8" ht="14.25" customHeight="1">
      <c r="A7" s="231">
        <v>711100</v>
      </c>
      <c r="B7" s="27"/>
      <c r="C7" s="68" t="s">
        <v>201</v>
      </c>
      <c r="D7" s="75">
        <f>SUM(D8)</f>
        <v>500</v>
      </c>
      <c r="E7" s="75">
        <f>SUM(E8)</f>
        <v>200</v>
      </c>
      <c r="F7" s="75">
        <f>SUM(F8)</f>
        <v>200</v>
      </c>
      <c r="G7" s="168">
        <f t="shared" si="0"/>
        <v>40</v>
      </c>
      <c r="H7" s="318">
        <f t="shared" si="1"/>
        <v>0.0012802458071949814</v>
      </c>
    </row>
    <row r="8" spans="1:8" ht="14.25" customHeight="1">
      <c r="A8" s="232">
        <v>711113</v>
      </c>
      <c r="B8" s="13"/>
      <c r="C8" s="79" t="s">
        <v>240</v>
      </c>
      <c r="D8" s="211">
        <v>500</v>
      </c>
      <c r="E8" s="211">
        <v>200</v>
      </c>
      <c r="F8" s="211">
        <v>200</v>
      </c>
      <c r="G8" s="211">
        <f t="shared" si="0"/>
        <v>40</v>
      </c>
      <c r="H8" s="227">
        <f t="shared" si="1"/>
        <v>0.0012802458071949814</v>
      </c>
    </row>
    <row r="9" spans="1:8" ht="25.5" customHeight="1">
      <c r="A9" s="230">
        <v>713000</v>
      </c>
      <c r="B9" s="19"/>
      <c r="C9" s="22" t="s">
        <v>4</v>
      </c>
      <c r="D9" s="75">
        <f>SUM(D10:D11)</f>
        <v>940000</v>
      </c>
      <c r="E9" s="75">
        <f>SUM(E10:E11)</f>
        <v>831000</v>
      </c>
      <c r="F9" s="75">
        <f>SUM(F10:F11)</f>
        <v>855000</v>
      </c>
      <c r="G9" s="168">
        <f t="shared" si="0"/>
        <v>90.95744680851064</v>
      </c>
      <c r="H9" s="318">
        <f t="shared" si="1"/>
        <v>5.473050825758546</v>
      </c>
    </row>
    <row r="10" spans="1:8" ht="14.25" customHeight="1">
      <c r="A10" s="232" t="s">
        <v>5</v>
      </c>
      <c r="B10" s="13"/>
      <c r="C10" s="23" t="s">
        <v>241</v>
      </c>
      <c r="D10" s="211">
        <v>155000</v>
      </c>
      <c r="E10" s="211">
        <v>169000</v>
      </c>
      <c r="F10" s="211">
        <v>165000</v>
      </c>
      <c r="G10" s="211">
        <f t="shared" si="0"/>
        <v>106.4516129032258</v>
      </c>
      <c r="H10" s="227">
        <f t="shared" si="1"/>
        <v>1.0562027909358598</v>
      </c>
    </row>
    <row r="11" spans="1:8" ht="14.25" customHeight="1">
      <c r="A11" s="232" t="s">
        <v>6</v>
      </c>
      <c r="B11" s="13"/>
      <c r="C11" s="25" t="s">
        <v>7</v>
      </c>
      <c r="D11" s="211">
        <v>785000</v>
      </c>
      <c r="E11" s="211">
        <v>662000</v>
      </c>
      <c r="F11" s="211">
        <v>690000</v>
      </c>
      <c r="G11" s="211">
        <f t="shared" si="0"/>
        <v>87.89808917197452</v>
      </c>
      <c r="H11" s="227">
        <f t="shared" si="1"/>
        <v>4.416848034822686</v>
      </c>
    </row>
    <row r="12" spans="1:8" ht="14.25" customHeight="1">
      <c r="A12" s="230">
        <v>714000</v>
      </c>
      <c r="B12" s="19"/>
      <c r="C12" s="22" t="s">
        <v>8</v>
      </c>
      <c r="D12" s="75">
        <f>SUM(D13:D13)</f>
        <v>350000</v>
      </c>
      <c r="E12" s="75">
        <f>SUM(E13:E13)</f>
        <v>262000</v>
      </c>
      <c r="F12" s="75">
        <f>SUM(F13:F13)</f>
        <v>280000</v>
      </c>
      <c r="G12" s="168">
        <f t="shared" si="0"/>
        <v>80</v>
      </c>
      <c r="H12" s="318">
        <f t="shared" si="1"/>
        <v>1.792344130072974</v>
      </c>
    </row>
    <row r="13" spans="1:8" ht="14.25" customHeight="1">
      <c r="A13" s="312" t="s">
        <v>443</v>
      </c>
      <c r="B13" s="19"/>
      <c r="C13" s="40" t="s">
        <v>399</v>
      </c>
      <c r="D13" s="211">
        <v>350000</v>
      </c>
      <c r="E13" s="211">
        <v>262000</v>
      </c>
      <c r="F13" s="211">
        <v>280000</v>
      </c>
      <c r="G13" s="211">
        <f t="shared" si="0"/>
        <v>80</v>
      </c>
      <c r="H13" s="227">
        <f t="shared" si="1"/>
        <v>1.792344130072974</v>
      </c>
    </row>
    <row r="14" spans="1:8" ht="14.25" customHeight="1">
      <c r="A14" s="230">
        <v>715000</v>
      </c>
      <c r="B14" s="19"/>
      <c r="C14" s="22" t="s">
        <v>166</v>
      </c>
      <c r="D14" s="75">
        <f>SUM(D15:D17)</f>
        <v>2000</v>
      </c>
      <c r="E14" s="75">
        <f>SUM(E15:E17)</f>
        <v>83300</v>
      </c>
      <c r="F14" s="75">
        <f>SUM(F15:F17)</f>
        <v>2500</v>
      </c>
      <c r="G14" s="168">
        <f t="shared" si="0"/>
        <v>125</v>
      </c>
      <c r="H14" s="318">
        <f t="shared" si="1"/>
        <v>0.016003072589937266</v>
      </c>
    </row>
    <row r="15" spans="1:8" ht="14.25" customHeight="1">
      <c r="A15" s="233">
        <v>715110</v>
      </c>
      <c r="B15" s="33"/>
      <c r="C15" s="23" t="s">
        <v>521</v>
      </c>
      <c r="D15" s="211">
        <v>1500</v>
      </c>
      <c r="E15" s="211">
        <v>2000</v>
      </c>
      <c r="F15" s="211">
        <v>2000</v>
      </c>
      <c r="G15" s="211">
        <f t="shared" si="0"/>
        <v>133.33333333333331</v>
      </c>
      <c r="H15" s="227">
        <f t="shared" si="1"/>
        <v>0.012802458071949815</v>
      </c>
    </row>
    <row r="16" spans="1:8" ht="14.25" customHeight="1">
      <c r="A16" s="232">
        <v>715210</v>
      </c>
      <c r="B16" s="13"/>
      <c r="C16" s="25" t="s">
        <v>522</v>
      </c>
      <c r="D16" s="211">
        <v>500</v>
      </c>
      <c r="E16" s="211">
        <v>100</v>
      </c>
      <c r="F16" s="211">
        <v>500</v>
      </c>
      <c r="G16" s="211">
        <f t="shared" si="0"/>
        <v>100</v>
      </c>
      <c r="H16" s="227">
        <f t="shared" si="1"/>
        <v>0.0032006145179874538</v>
      </c>
    </row>
    <row r="17" spans="1:8" ht="14.25" customHeight="1">
      <c r="A17" s="232">
        <v>715310</v>
      </c>
      <c r="B17" s="13"/>
      <c r="C17" s="25" t="s">
        <v>520</v>
      </c>
      <c r="D17" s="211">
        <v>0</v>
      </c>
      <c r="E17" s="211">
        <v>81200</v>
      </c>
      <c r="F17" s="211">
        <v>0</v>
      </c>
      <c r="G17" s="211">
        <f t="shared" si="0"/>
        <v>0</v>
      </c>
      <c r="H17" s="227">
        <f t="shared" si="1"/>
        <v>0</v>
      </c>
    </row>
    <row r="18" spans="1:8" ht="14.25" customHeight="1">
      <c r="A18" s="234">
        <v>717000</v>
      </c>
      <c r="B18" s="64"/>
      <c r="C18" s="67" t="s">
        <v>363</v>
      </c>
      <c r="D18" s="75">
        <f>SUM(D19)</f>
        <v>9670000</v>
      </c>
      <c r="E18" s="75">
        <f>SUM(E19)</f>
        <v>9713000</v>
      </c>
      <c r="F18" s="75">
        <f>SUM(F19)</f>
        <v>10420000</v>
      </c>
      <c r="G18" s="168">
        <f t="shared" si="0"/>
        <v>107.75594622543952</v>
      </c>
      <c r="H18" s="318">
        <f t="shared" si="1"/>
        <v>66.70080655485854</v>
      </c>
    </row>
    <row r="19" spans="1:8" ht="14.25" customHeight="1">
      <c r="A19" s="235">
        <v>717111</v>
      </c>
      <c r="B19" s="33"/>
      <c r="C19" s="25" t="s">
        <v>363</v>
      </c>
      <c r="D19" s="211">
        <v>9670000</v>
      </c>
      <c r="E19" s="211">
        <v>9713000</v>
      </c>
      <c r="F19" s="211">
        <v>10420000</v>
      </c>
      <c r="G19" s="211">
        <f t="shared" si="0"/>
        <v>107.75594622543952</v>
      </c>
      <c r="H19" s="227">
        <f t="shared" si="1"/>
        <v>66.70080655485854</v>
      </c>
    </row>
    <row r="20" spans="1:8" ht="14.25" customHeight="1">
      <c r="A20" s="230">
        <v>719000</v>
      </c>
      <c r="B20" s="19"/>
      <c r="C20" s="22" t="s">
        <v>364</v>
      </c>
      <c r="D20" s="75">
        <f>SUM(D21)</f>
        <v>7500</v>
      </c>
      <c r="E20" s="75">
        <f>SUM(E21)</f>
        <v>14000</v>
      </c>
      <c r="F20" s="75">
        <f>SUM(F21)</f>
        <v>11000</v>
      </c>
      <c r="G20" s="168">
        <f t="shared" si="0"/>
        <v>146.66666666666666</v>
      </c>
      <c r="H20" s="318">
        <f t="shared" si="1"/>
        <v>0.07041351939572398</v>
      </c>
    </row>
    <row r="21" spans="1:8" ht="14.25" customHeight="1">
      <c r="A21" s="232">
        <v>719113</v>
      </c>
      <c r="B21" s="13"/>
      <c r="C21" s="23" t="s">
        <v>9</v>
      </c>
      <c r="D21" s="211">
        <v>7500</v>
      </c>
      <c r="E21" s="211">
        <v>14000</v>
      </c>
      <c r="F21" s="211">
        <v>11000</v>
      </c>
      <c r="G21" s="211">
        <f t="shared" si="0"/>
        <v>146.66666666666666</v>
      </c>
      <c r="H21" s="227">
        <f t="shared" si="1"/>
        <v>0.07041351939572398</v>
      </c>
    </row>
    <row r="22" spans="1:8" ht="15" customHeight="1">
      <c r="A22" s="230">
        <v>720000</v>
      </c>
      <c r="B22" s="19"/>
      <c r="C22" s="48" t="s">
        <v>242</v>
      </c>
      <c r="D22" s="57">
        <f>D23+D30+D62+D64</f>
        <v>2380100</v>
      </c>
      <c r="E22" s="57">
        <f>E23+E30+E62+E64</f>
        <v>2382300</v>
      </c>
      <c r="F22" s="57">
        <f>F23+F30+F62+F64</f>
        <v>2462800</v>
      </c>
      <c r="G22" s="432">
        <f t="shared" si="0"/>
        <v>103.47464392252425</v>
      </c>
      <c r="H22" s="317">
        <f t="shared" si="1"/>
        <v>15.764946869799001</v>
      </c>
    </row>
    <row r="23" spans="1:8" ht="14.25" customHeight="1">
      <c r="A23" s="230">
        <v>721000</v>
      </c>
      <c r="B23" s="19"/>
      <c r="C23" s="68" t="s">
        <v>167</v>
      </c>
      <c r="D23" s="75">
        <f>D24+D28</f>
        <v>182000</v>
      </c>
      <c r="E23" s="75">
        <f>E24+E28</f>
        <v>175200</v>
      </c>
      <c r="F23" s="75">
        <f>F24+F28</f>
        <v>216000</v>
      </c>
      <c r="G23" s="168">
        <f t="shared" si="0"/>
        <v>118.68131868131869</v>
      </c>
      <c r="H23" s="318">
        <f t="shared" si="1"/>
        <v>1.38266547177058</v>
      </c>
    </row>
    <row r="24" spans="1:8" ht="14.25" customHeight="1">
      <c r="A24" s="231">
        <v>721200</v>
      </c>
      <c r="B24" s="27"/>
      <c r="C24" s="22" t="s">
        <v>168</v>
      </c>
      <c r="D24" s="58">
        <f>SUM(D25:D27)</f>
        <v>179000</v>
      </c>
      <c r="E24" s="58">
        <f>SUM(E25:E27)</f>
        <v>174000</v>
      </c>
      <c r="F24" s="58">
        <f>SUM(F25:F27)</f>
        <v>214500</v>
      </c>
      <c r="G24" s="225">
        <f t="shared" si="0"/>
        <v>119.83240223463687</v>
      </c>
      <c r="H24" s="226">
        <f t="shared" si="1"/>
        <v>1.3730636282166178</v>
      </c>
    </row>
    <row r="25" spans="1:8" ht="14.25" customHeight="1">
      <c r="A25" s="232">
        <v>721222</v>
      </c>
      <c r="B25" s="13"/>
      <c r="C25" s="23" t="s">
        <v>262</v>
      </c>
      <c r="D25" s="211">
        <v>13000</v>
      </c>
      <c r="E25" s="211">
        <v>13000</v>
      </c>
      <c r="F25" s="211">
        <v>13500</v>
      </c>
      <c r="G25" s="211">
        <f t="shared" si="0"/>
        <v>103.84615384615385</v>
      </c>
      <c r="H25" s="227">
        <f t="shared" si="1"/>
        <v>0.08641659198566125</v>
      </c>
    </row>
    <row r="26" spans="1:8" ht="14.25" customHeight="1">
      <c r="A26" s="232">
        <v>721223</v>
      </c>
      <c r="B26" s="13"/>
      <c r="C26" s="25" t="s">
        <v>10</v>
      </c>
      <c r="D26" s="211">
        <v>155000</v>
      </c>
      <c r="E26" s="211">
        <v>150000</v>
      </c>
      <c r="F26" s="211">
        <v>190000</v>
      </c>
      <c r="G26" s="211">
        <f t="shared" si="0"/>
        <v>122.58064516129032</v>
      </c>
      <c r="H26" s="227">
        <f t="shared" si="1"/>
        <v>1.2162335168352323</v>
      </c>
    </row>
    <row r="27" spans="1:8" ht="14.25" customHeight="1">
      <c r="A27" s="232">
        <v>721224</v>
      </c>
      <c r="B27" s="13"/>
      <c r="C27" s="25" t="s">
        <v>243</v>
      </c>
      <c r="D27" s="211">
        <v>11000</v>
      </c>
      <c r="E27" s="211">
        <v>11000</v>
      </c>
      <c r="F27" s="211">
        <v>11000</v>
      </c>
      <c r="G27" s="211">
        <f t="shared" si="0"/>
        <v>100</v>
      </c>
      <c r="H27" s="227">
        <f t="shared" si="1"/>
        <v>0.07041351939572398</v>
      </c>
    </row>
    <row r="28" spans="1:8" ht="14.25" customHeight="1">
      <c r="A28" s="236">
        <v>721300</v>
      </c>
      <c r="B28" s="313"/>
      <c r="C28" s="69" t="s">
        <v>169</v>
      </c>
      <c r="D28" s="58">
        <f>SUM(D29:D29)</f>
        <v>3000</v>
      </c>
      <c r="E28" s="58">
        <f>SUM(E29:E29)</f>
        <v>1200</v>
      </c>
      <c r="F28" s="58">
        <f>SUM(F29:F29)</f>
        <v>1500</v>
      </c>
      <c r="G28" s="225">
        <f t="shared" si="0"/>
        <v>50</v>
      </c>
      <c r="H28" s="226">
        <f t="shared" si="1"/>
        <v>0.009601843553962361</v>
      </c>
    </row>
    <row r="29" spans="1:8" ht="14.25" customHeight="1">
      <c r="A29" s="237">
        <v>721310</v>
      </c>
      <c r="B29" s="84"/>
      <c r="C29" s="70" t="s">
        <v>244</v>
      </c>
      <c r="D29" s="211">
        <v>3000</v>
      </c>
      <c r="E29" s="211">
        <v>1200</v>
      </c>
      <c r="F29" s="211">
        <v>1500</v>
      </c>
      <c r="G29" s="211">
        <f t="shared" si="0"/>
        <v>50</v>
      </c>
      <c r="H29" s="227">
        <f t="shared" si="1"/>
        <v>0.009601843553962361</v>
      </c>
    </row>
    <row r="30" spans="1:8" ht="14.25" customHeight="1">
      <c r="A30" s="230">
        <v>722000</v>
      </c>
      <c r="B30" s="19"/>
      <c r="C30" s="22" t="s">
        <v>170</v>
      </c>
      <c r="D30" s="75">
        <f>D31+D34+D43+D53</f>
        <v>2123100</v>
      </c>
      <c r="E30" s="75">
        <f>E31+E34+E43+E53</f>
        <v>2107600</v>
      </c>
      <c r="F30" s="75">
        <f>F31+F34+F43+F53</f>
        <v>2158800</v>
      </c>
      <c r="G30" s="168">
        <f t="shared" si="0"/>
        <v>101.6815034619189</v>
      </c>
      <c r="H30" s="318">
        <f t="shared" si="1"/>
        <v>13.818973242862628</v>
      </c>
    </row>
    <row r="31" spans="1:8" ht="14.25" customHeight="1">
      <c r="A31" s="236">
        <v>722100</v>
      </c>
      <c r="B31" s="313"/>
      <c r="C31" s="22" t="s">
        <v>11</v>
      </c>
      <c r="D31" s="47">
        <f>SUM(D32:D33)</f>
        <v>210000</v>
      </c>
      <c r="E31" s="47">
        <f>SUM(E32:E33)</f>
        <v>167350</v>
      </c>
      <c r="F31" s="47">
        <f>SUM(F32:F33)</f>
        <v>167000</v>
      </c>
      <c r="G31" s="225">
        <f t="shared" si="0"/>
        <v>79.52380952380952</v>
      </c>
      <c r="H31" s="226">
        <f t="shared" si="1"/>
        <v>1.0690052490078095</v>
      </c>
    </row>
    <row r="32" spans="1:8" ht="15.75" customHeight="1">
      <c r="A32" s="232">
        <v>722118</v>
      </c>
      <c r="B32" s="313"/>
      <c r="C32" s="23" t="s">
        <v>408</v>
      </c>
      <c r="D32" s="211">
        <v>0</v>
      </c>
      <c r="E32" s="211">
        <v>1350</v>
      </c>
      <c r="F32" s="211">
        <v>0</v>
      </c>
      <c r="G32" s="211">
        <f t="shared" si="0"/>
        <v>0</v>
      </c>
      <c r="H32" s="227">
        <f t="shared" si="1"/>
        <v>0</v>
      </c>
    </row>
    <row r="33" spans="1:8" ht="14.25" customHeight="1">
      <c r="A33" s="232">
        <v>722121</v>
      </c>
      <c r="B33" s="13"/>
      <c r="C33" s="23" t="s">
        <v>12</v>
      </c>
      <c r="D33" s="211">
        <v>210000</v>
      </c>
      <c r="E33" s="211">
        <v>166000</v>
      </c>
      <c r="F33" s="211">
        <v>167000</v>
      </c>
      <c r="G33" s="211">
        <f t="shared" si="0"/>
        <v>79.52380952380952</v>
      </c>
      <c r="H33" s="227">
        <f t="shared" si="1"/>
        <v>1.0690052490078095</v>
      </c>
    </row>
    <row r="34" spans="1:8" ht="14.25" customHeight="1">
      <c r="A34" s="231">
        <v>722300</v>
      </c>
      <c r="B34" s="27"/>
      <c r="C34" s="22" t="s">
        <v>13</v>
      </c>
      <c r="D34" s="47">
        <f>SUM(D35:D42)</f>
        <v>618500</v>
      </c>
      <c r="E34" s="47">
        <f>SUM(E35:E42)</f>
        <v>644950</v>
      </c>
      <c r="F34" s="47">
        <f>SUM(F35:F42)</f>
        <v>626800</v>
      </c>
      <c r="G34" s="225">
        <f t="shared" si="0"/>
        <v>101.34195634599838</v>
      </c>
      <c r="H34" s="226">
        <f t="shared" si="1"/>
        <v>4.0122903597490716</v>
      </c>
    </row>
    <row r="35" spans="1:8" ht="14.25" customHeight="1">
      <c r="A35" s="232">
        <v>722312</v>
      </c>
      <c r="B35" s="13"/>
      <c r="C35" s="23" t="s">
        <v>326</v>
      </c>
      <c r="D35" s="211">
        <v>410000</v>
      </c>
      <c r="E35" s="211">
        <v>400000</v>
      </c>
      <c r="F35" s="211">
        <v>390000</v>
      </c>
      <c r="G35" s="211">
        <f t="shared" si="0"/>
        <v>95.1219512195122</v>
      </c>
      <c r="H35" s="227">
        <f t="shared" si="1"/>
        <v>2.4964793240302137</v>
      </c>
    </row>
    <row r="36" spans="1:8" ht="24" customHeight="1">
      <c r="A36" s="232">
        <v>722314</v>
      </c>
      <c r="B36" s="13"/>
      <c r="C36" s="23" t="s">
        <v>327</v>
      </c>
      <c r="D36" s="211">
        <v>35000</v>
      </c>
      <c r="E36" s="211">
        <v>35000</v>
      </c>
      <c r="F36" s="211">
        <v>32000</v>
      </c>
      <c r="G36" s="211">
        <f t="shared" si="0"/>
        <v>91.42857142857143</v>
      </c>
      <c r="H36" s="227">
        <f t="shared" si="1"/>
        <v>0.20483932915119704</v>
      </c>
    </row>
    <row r="37" spans="1:8" ht="23.25" customHeight="1">
      <c r="A37" s="232">
        <v>722316</v>
      </c>
      <c r="B37" s="13"/>
      <c r="C37" s="23" t="s">
        <v>14</v>
      </c>
      <c r="D37" s="211">
        <v>3000</v>
      </c>
      <c r="E37" s="211">
        <v>2500</v>
      </c>
      <c r="F37" s="211">
        <v>2500</v>
      </c>
      <c r="G37" s="211">
        <f t="shared" si="0"/>
        <v>83.33333333333334</v>
      </c>
      <c r="H37" s="227">
        <f t="shared" si="1"/>
        <v>0.016003072589937266</v>
      </c>
    </row>
    <row r="38" spans="1:8" ht="23.25" customHeight="1">
      <c r="A38" s="232">
        <v>722317</v>
      </c>
      <c r="B38" s="13"/>
      <c r="C38" s="23" t="s">
        <v>328</v>
      </c>
      <c r="D38" s="211">
        <v>500</v>
      </c>
      <c r="E38" s="211">
        <v>150</v>
      </c>
      <c r="F38" s="211">
        <v>300</v>
      </c>
      <c r="G38" s="211">
        <f t="shared" si="0"/>
        <v>60</v>
      </c>
      <c r="H38" s="227">
        <f t="shared" si="1"/>
        <v>0.0019203687107924722</v>
      </c>
    </row>
    <row r="39" spans="1:8" ht="14.25" customHeight="1">
      <c r="A39" s="232">
        <v>722318</v>
      </c>
      <c r="B39" s="13"/>
      <c r="C39" s="23" t="s">
        <v>15</v>
      </c>
      <c r="D39" s="211">
        <v>3000</v>
      </c>
      <c r="E39" s="211">
        <v>2800</v>
      </c>
      <c r="F39" s="211">
        <v>3000</v>
      </c>
      <c r="G39" s="211">
        <f t="shared" si="0"/>
        <v>100</v>
      </c>
      <c r="H39" s="227">
        <f t="shared" si="1"/>
        <v>0.019203687107924722</v>
      </c>
    </row>
    <row r="40" spans="1:8" ht="38.25" customHeight="1">
      <c r="A40" s="232">
        <v>722319</v>
      </c>
      <c r="B40" s="13"/>
      <c r="C40" s="23" t="s">
        <v>254</v>
      </c>
      <c r="D40" s="211">
        <v>140000</v>
      </c>
      <c r="E40" s="211">
        <v>174000</v>
      </c>
      <c r="F40" s="211">
        <v>170000</v>
      </c>
      <c r="G40" s="211">
        <f t="shared" si="0"/>
        <v>121.42857142857142</v>
      </c>
      <c r="H40" s="227">
        <f t="shared" si="1"/>
        <v>1.0882089361157343</v>
      </c>
    </row>
    <row r="41" spans="1:8" ht="24.75" customHeight="1">
      <c r="A41" s="232">
        <v>722391</v>
      </c>
      <c r="B41" s="13"/>
      <c r="C41" s="23" t="s">
        <v>16</v>
      </c>
      <c r="D41" s="211">
        <v>11000</v>
      </c>
      <c r="E41" s="211">
        <v>13500</v>
      </c>
      <c r="F41" s="211">
        <v>13000</v>
      </c>
      <c r="G41" s="211">
        <f t="shared" si="0"/>
        <v>118.18181818181819</v>
      </c>
      <c r="H41" s="227">
        <f t="shared" si="1"/>
        <v>0.0832159774676738</v>
      </c>
    </row>
    <row r="42" spans="1:8" ht="14.25" customHeight="1">
      <c r="A42" s="232">
        <v>722396</v>
      </c>
      <c r="B42" s="13"/>
      <c r="C42" s="23" t="s">
        <v>171</v>
      </c>
      <c r="D42" s="211">
        <v>16000</v>
      </c>
      <c r="E42" s="211">
        <v>17000</v>
      </c>
      <c r="F42" s="211">
        <v>16000</v>
      </c>
      <c r="G42" s="211">
        <f t="shared" si="0"/>
        <v>100</v>
      </c>
      <c r="H42" s="227">
        <f t="shared" si="1"/>
        <v>0.10241966457559852</v>
      </c>
    </row>
    <row r="43" spans="1:8" ht="14.25" customHeight="1">
      <c r="A43" s="231">
        <v>722400</v>
      </c>
      <c r="B43" s="27"/>
      <c r="C43" s="32" t="s">
        <v>17</v>
      </c>
      <c r="D43" s="122">
        <f>SUM(D44:D52)</f>
        <v>975000</v>
      </c>
      <c r="E43" s="122">
        <f>SUM(E44:E52)</f>
        <v>987000</v>
      </c>
      <c r="F43" s="122">
        <f>SUM(F44:F52)</f>
        <v>1063000</v>
      </c>
      <c r="G43" s="225">
        <f t="shared" si="0"/>
        <v>109.02564102564102</v>
      </c>
      <c r="H43" s="226">
        <f t="shared" si="1"/>
        <v>6.804506465241326</v>
      </c>
    </row>
    <row r="44" spans="1:8" ht="14.25" customHeight="1">
      <c r="A44" s="232">
        <v>722411</v>
      </c>
      <c r="B44" s="13"/>
      <c r="C44" s="23" t="s">
        <v>324</v>
      </c>
      <c r="D44" s="211">
        <v>155000</v>
      </c>
      <c r="E44" s="211">
        <v>155000</v>
      </c>
      <c r="F44" s="211">
        <v>190000</v>
      </c>
      <c r="G44" s="211">
        <f t="shared" si="0"/>
        <v>122.58064516129032</v>
      </c>
      <c r="H44" s="227">
        <f t="shared" si="1"/>
        <v>1.2162335168352323</v>
      </c>
    </row>
    <row r="45" spans="1:8" ht="14.25" customHeight="1">
      <c r="A45" s="232">
        <v>722424</v>
      </c>
      <c r="B45" s="13"/>
      <c r="C45" s="23" t="s">
        <v>245</v>
      </c>
      <c r="D45" s="211">
        <v>65000</v>
      </c>
      <c r="E45" s="211">
        <v>55000</v>
      </c>
      <c r="F45" s="211">
        <v>45000</v>
      </c>
      <c r="G45" s="211">
        <f t="shared" si="0"/>
        <v>69.23076923076923</v>
      </c>
      <c r="H45" s="227">
        <f t="shared" si="1"/>
        <v>0.2880553066188708</v>
      </c>
    </row>
    <row r="46" spans="1:8" ht="14.25" customHeight="1">
      <c r="A46" s="232">
        <v>722425</v>
      </c>
      <c r="B46" s="13"/>
      <c r="C46" s="23" t="s">
        <v>246</v>
      </c>
      <c r="D46" s="211">
        <v>40000</v>
      </c>
      <c r="E46" s="211">
        <v>75000</v>
      </c>
      <c r="F46" s="211">
        <v>200000</v>
      </c>
      <c r="G46" s="211">
        <f t="shared" si="0"/>
        <v>500</v>
      </c>
      <c r="H46" s="227">
        <f t="shared" si="1"/>
        <v>1.2802458071949816</v>
      </c>
    </row>
    <row r="47" spans="1:8" ht="34.5" customHeight="1">
      <c r="A47" s="232">
        <v>722435</v>
      </c>
      <c r="B47" s="13"/>
      <c r="C47" s="23" t="s">
        <v>325</v>
      </c>
      <c r="D47" s="211">
        <v>195000</v>
      </c>
      <c r="E47" s="211">
        <v>172000</v>
      </c>
      <c r="F47" s="211">
        <v>170000</v>
      </c>
      <c r="G47" s="211">
        <f t="shared" si="0"/>
        <v>87.17948717948718</v>
      </c>
      <c r="H47" s="227">
        <f t="shared" si="1"/>
        <v>1.0882089361157343</v>
      </c>
    </row>
    <row r="48" spans="1:8" ht="24" customHeight="1">
      <c r="A48" s="232">
        <v>722437</v>
      </c>
      <c r="B48" s="13"/>
      <c r="C48" s="23" t="s">
        <v>265</v>
      </c>
      <c r="D48" s="211">
        <v>35000</v>
      </c>
      <c r="E48" s="211">
        <v>30000</v>
      </c>
      <c r="F48" s="211">
        <v>32000</v>
      </c>
      <c r="G48" s="211">
        <f t="shared" si="0"/>
        <v>91.42857142857143</v>
      </c>
      <c r="H48" s="227">
        <f t="shared" si="1"/>
        <v>0.20483932915119704</v>
      </c>
    </row>
    <row r="49" spans="1:8" ht="24" customHeight="1">
      <c r="A49" s="233">
        <v>722440</v>
      </c>
      <c r="B49" s="33"/>
      <c r="C49" s="40" t="s">
        <v>490</v>
      </c>
      <c r="D49" s="211">
        <v>115000</v>
      </c>
      <c r="E49" s="211">
        <v>120000</v>
      </c>
      <c r="F49" s="211">
        <v>121000</v>
      </c>
      <c r="G49" s="211">
        <f t="shared" si="0"/>
        <v>105.21739130434781</v>
      </c>
      <c r="H49" s="227">
        <f t="shared" si="1"/>
        <v>0.7745487133529637</v>
      </c>
    </row>
    <row r="50" spans="1:8" ht="23.25" customHeight="1">
      <c r="A50" s="232">
        <v>722461</v>
      </c>
      <c r="B50" s="13"/>
      <c r="C50" s="23" t="s">
        <v>58</v>
      </c>
      <c r="D50" s="211">
        <v>200000</v>
      </c>
      <c r="E50" s="211">
        <v>190000</v>
      </c>
      <c r="F50" s="211">
        <v>170000</v>
      </c>
      <c r="G50" s="211">
        <f t="shared" si="0"/>
        <v>85</v>
      </c>
      <c r="H50" s="227">
        <f t="shared" si="1"/>
        <v>1.0882089361157343</v>
      </c>
    </row>
    <row r="51" spans="1:8" ht="13.5" customHeight="1">
      <c r="A51" s="232">
        <v>722467</v>
      </c>
      <c r="B51" s="13"/>
      <c r="C51" s="23" t="s">
        <v>18</v>
      </c>
      <c r="D51" s="211">
        <v>170000</v>
      </c>
      <c r="E51" s="211">
        <v>190000</v>
      </c>
      <c r="F51" s="211">
        <v>135000</v>
      </c>
      <c r="G51" s="211">
        <f t="shared" si="0"/>
        <v>79.41176470588235</v>
      </c>
      <c r="H51" s="227">
        <f t="shared" si="1"/>
        <v>0.8641659198566125</v>
      </c>
    </row>
    <row r="52" spans="1:8" ht="23.25" customHeight="1" hidden="1">
      <c r="A52" s="232">
        <v>722491</v>
      </c>
      <c r="B52" s="13"/>
      <c r="C52" s="23" t="s">
        <v>323</v>
      </c>
      <c r="D52" s="370"/>
      <c r="E52" s="370"/>
      <c r="F52" s="370"/>
      <c r="G52" s="225">
        <f t="shared" si="0"/>
        <v>0</v>
      </c>
      <c r="H52" s="371">
        <f t="shared" si="1"/>
        <v>0</v>
      </c>
    </row>
    <row r="53" spans="1:8" ht="14.25" customHeight="1">
      <c r="A53" s="238">
        <v>722500</v>
      </c>
      <c r="B53" s="71"/>
      <c r="C53" s="22" t="s">
        <v>19</v>
      </c>
      <c r="D53" s="122">
        <f>SUM(D54:D61)</f>
        <v>319600</v>
      </c>
      <c r="E53" s="122">
        <f>SUM(E54:E61)</f>
        <v>308300</v>
      </c>
      <c r="F53" s="122">
        <f>SUM(F54:F61)</f>
        <v>302000</v>
      </c>
      <c r="G53" s="225">
        <f t="shared" si="0"/>
        <v>94.49311639549437</v>
      </c>
      <c r="H53" s="226">
        <f t="shared" si="1"/>
        <v>1.933171168864422</v>
      </c>
    </row>
    <row r="54" spans="1:8" ht="14.25" customHeight="1">
      <c r="A54" s="232">
        <v>722521</v>
      </c>
      <c r="B54" s="13"/>
      <c r="C54" s="23" t="s">
        <v>446</v>
      </c>
      <c r="D54" s="211">
        <v>18000</v>
      </c>
      <c r="E54" s="211">
        <v>11000</v>
      </c>
      <c r="F54" s="211">
        <v>9000</v>
      </c>
      <c r="G54" s="211">
        <f t="shared" si="0"/>
        <v>50</v>
      </c>
      <c r="H54" s="227">
        <f t="shared" si="1"/>
        <v>0.057611061323774165</v>
      </c>
    </row>
    <row r="55" spans="1:8" ht="14.25" customHeight="1">
      <c r="A55" s="232">
        <v>722591</v>
      </c>
      <c r="B55" s="13"/>
      <c r="C55" s="25" t="s">
        <v>447</v>
      </c>
      <c r="D55" s="211">
        <v>17700</v>
      </c>
      <c r="E55" s="211">
        <v>20000</v>
      </c>
      <c r="F55" s="211">
        <v>20000</v>
      </c>
      <c r="G55" s="211">
        <f t="shared" si="0"/>
        <v>112.99435028248588</v>
      </c>
      <c r="H55" s="227">
        <f t="shared" si="1"/>
        <v>0.12802458071949813</v>
      </c>
    </row>
    <row r="56" spans="1:8" ht="14.25" customHeight="1">
      <c r="A56" s="232">
        <v>722591</v>
      </c>
      <c r="B56" s="13"/>
      <c r="C56" s="25" t="s">
        <v>449</v>
      </c>
      <c r="D56" s="211">
        <v>247000</v>
      </c>
      <c r="E56" s="211">
        <v>241300</v>
      </c>
      <c r="F56" s="211">
        <v>235000</v>
      </c>
      <c r="G56" s="211">
        <f t="shared" si="0"/>
        <v>95.1417004048583</v>
      </c>
      <c r="H56" s="227">
        <f t="shared" si="1"/>
        <v>1.5042888234541032</v>
      </c>
    </row>
    <row r="57" spans="1:8" ht="14.25" customHeight="1">
      <c r="A57" s="232">
        <v>722591</v>
      </c>
      <c r="B57" s="13"/>
      <c r="C57" s="25" t="s">
        <v>273</v>
      </c>
      <c r="D57" s="211">
        <v>10000</v>
      </c>
      <c r="E57" s="211">
        <v>9500</v>
      </c>
      <c r="F57" s="211">
        <v>10000</v>
      </c>
      <c r="G57" s="211">
        <f t="shared" si="0"/>
        <v>100</v>
      </c>
      <c r="H57" s="227">
        <f t="shared" si="1"/>
        <v>0.06401229035974906</v>
      </c>
    </row>
    <row r="58" spans="1:8" ht="14.25" customHeight="1">
      <c r="A58" s="232">
        <v>722591</v>
      </c>
      <c r="B58" s="13"/>
      <c r="C58" s="23" t="s">
        <v>269</v>
      </c>
      <c r="D58" s="211">
        <v>21000</v>
      </c>
      <c r="E58" s="211">
        <v>21000</v>
      </c>
      <c r="F58" s="211">
        <v>22000</v>
      </c>
      <c r="G58" s="211">
        <f t="shared" si="0"/>
        <v>104.76190476190477</v>
      </c>
      <c r="H58" s="227">
        <f t="shared" si="1"/>
        <v>0.14082703879144795</v>
      </c>
    </row>
    <row r="59" spans="1:8" ht="14.25" customHeight="1">
      <c r="A59" s="232">
        <v>722591</v>
      </c>
      <c r="B59" s="13"/>
      <c r="C59" s="25" t="s">
        <v>448</v>
      </c>
      <c r="D59" s="211">
        <v>3000</v>
      </c>
      <c r="E59" s="211">
        <v>3000</v>
      </c>
      <c r="F59" s="211">
        <v>3000</v>
      </c>
      <c r="G59" s="211">
        <f t="shared" si="0"/>
        <v>100</v>
      </c>
      <c r="H59" s="227">
        <f t="shared" si="1"/>
        <v>0.019203687107924722</v>
      </c>
    </row>
    <row r="60" spans="1:8" ht="14.25" customHeight="1">
      <c r="A60" s="232">
        <v>722591</v>
      </c>
      <c r="B60" s="13"/>
      <c r="C60" s="23" t="s">
        <v>450</v>
      </c>
      <c r="D60" s="211">
        <v>1300</v>
      </c>
      <c r="E60" s="211">
        <v>1300</v>
      </c>
      <c r="F60" s="211">
        <v>1300</v>
      </c>
      <c r="G60" s="211">
        <f t="shared" si="0"/>
        <v>100</v>
      </c>
      <c r="H60" s="227">
        <f t="shared" si="1"/>
        <v>0.00832159774676738</v>
      </c>
    </row>
    <row r="61" spans="1:8" ht="14.25" customHeight="1">
      <c r="A61" s="232">
        <v>722591</v>
      </c>
      <c r="B61" s="13"/>
      <c r="C61" s="23" t="s">
        <v>425</v>
      </c>
      <c r="D61" s="211">
        <v>1600</v>
      </c>
      <c r="E61" s="211">
        <v>1200</v>
      </c>
      <c r="F61" s="211">
        <v>1700</v>
      </c>
      <c r="G61" s="211">
        <f t="shared" si="0"/>
        <v>106.25</v>
      </c>
      <c r="H61" s="227">
        <f t="shared" si="1"/>
        <v>0.010882089361157343</v>
      </c>
    </row>
    <row r="62" spans="1:8" ht="14.25" customHeight="1">
      <c r="A62" s="230">
        <v>723000</v>
      </c>
      <c r="B62" s="19"/>
      <c r="C62" s="49" t="s">
        <v>20</v>
      </c>
      <c r="D62" s="123">
        <f>D63</f>
        <v>15000</v>
      </c>
      <c r="E62" s="123">
        <f>E63</f>
        <v>19500</v>
      </c>
      <c r="F62" s="123">
        <f>F63</f>
        <v>18000</v>
      </c>
      <c r="G62" s="168">
        <f t="shared" si="0"/>
        <v>120</v>
      </c>
      <c r="H62" s="318">
        <f t="shared" si="1"/>
        <v>0.11522212264754833</v>
      </c>
    </row>
    <row r="63" spans="1:8" ht="25.5" customHeight="1">
      <c r="A63" s="232">
        <v>723121</v>
      </c>
      <c r="B63" s="13"/>
      <c r="C63" s="23" t="s">
        <v>247</v>
      </c>
      <c r="D63" s="211">
        <v>15000</v>
      </c>
      <c r="E63" s="211">
        <v>19500</v>
      </c>
      <c r="F63" s="211">
        <v>18000</v>
      </c>
      <c r="G63" s="211">
        <f t="shared" si="0"/>
        <v>120</v>
      </c>
      <c r="H63" s="227">
        <f t="shared" si="1"/>
        <v>0.11522212264754833</v>
      </c>
    </row>
    <row r="64" spans="1:8" ht="12.75">
      <c r="A64" s="230">
        <v>729000</v>
      </c>
      <c r="B64" s="19"/>
      <c r="C64" s="22" t="s">
        <v>21</v>
      </c>
      <c r="D64" s="123">
        <f>SUM(D65:D65)</f>
        <v>60000</v>
      </c>
      <c r="E64" s="123">
        <f>SUM(E65:E65)</f>
        <v>80000</v>
      </c>
      <c r="F64" s="123">
        <f>SUM(F65:F65)</f>
        <v>70000</v>
      </c>
      <c r="G64" s="168">
        <f t="shared" si="0"/>
        <v>116.66666666666667</v>
      </c>
      <c r="H64" s="318">
        <f t="shared" si="1"/>
        <v>0.4480860325182435</v>
      </c>
    </row>
    <row r="65" spans="1:8" ht="17.25" customHeight="1">
      <c r="A65" s="232">
        <v>729124</v>
      </c>
      <c r="B65" s="13"/>
      <c r="C65" s="26" t="s">
        <v>445</v>
      </c>
      <c r="D65" s="211">
        <v>60000</v>
      </c>
      <c r="E65" s="211">
        <v>80000</v>
      </c>
      <c r="F65" s="211">
        <v>70000</v>
      </c>
      <c r="G65" s="211">
        <f t="shared" si="0"/>
        <v>116.66666666666667</v>
      </c>
      <c r="H65" s="227">
        <f t="shared" si="1"/>
        <v>0.4480860325182435</v>
      </c>
    </row>
    <row r="66" spans="1:8" ht="15" customHeight="1">
      <c r="A66" s="239">
        <v>730000</v>
      </c>
      <c r="B66" s="314"/>
      <c r="C66" s="44" t="s">
        <v>248</v>
      </c>
      <c r="D66" s="57">
        <f>D67+D71</f>
        <v>0</v>
      </c>
      <c r="E66" s="57">
        <f>E67+E71</f>
        <v>69232</v>
      </c>
      <c r="F66" s="57">
        <f>F67+F71</f>
        <v>30000</v>
      </c>
      <c r="G66" s="432">
        <f t="shared" si="0"/>
        <v>0</v>
      </c>
      <c r="H66" s="317">
        <f t="shared" si="1"/>
        <v>0.19203687107924722</v>
      </c>
    </row>
    <row r="67" spans="1:8" ht="15" customHeight="1">
      <c r="A67" s="240">
        <v>731100</v>
      </c>
      <c r="B67" s="314"/>
      <c r="C67" s="42" t="s">
        <v>499</v>
      </c>
      <c r="D67" s="75">
        <f>SUM(D68:D70)</f>
        <v>0</v>
      </c>
      <c r="E67" s="75">
        <f>SUM(E68:E70)</f>
        <v>43332</v>
      </c>
      <c r="F67" s="75">
        <f>SUM(F68:F70)</f>
        <v>30000</v>
      </c>
      <c r="G67" s="168">
        <f t="shared" si="0"/>
        <v>0</v>
      </c>
      <c r="H67" s="318">
        <f t="shared" si="1"/>
        <v>0.19203687107924722</v>
      </c>
    </row>
    <row r="68" spans="1:8" ht="15" customHeight="1">
      <c r="A68" s="415">
        <v>731120</v>
      </c>
      <c r="B68" s="416"/>
      <c r="C68" s="54" t="s">
        <v>542</v>
      </c>
      <c r="D68" s="413">
        <v>0</v>
      </c>
      <c r="E68" s="413">
        <v>39420</v>
      </c>
      <c r="F68" s="413">
        <v>0</v>
      </c>
      <c r="G68" s="211">
        <f t="shared" si="0"/>
        <v>0</v>
      </c>
      <c r="H68" s="414">
        <f t="shared" si="1"/>
        <v>0</v>
      </c>
    </row>
    <row r="69" spans="1:8" ht="15" customHeight="1">
      <c r="A69" s="415">
        <v>731120</v>
      </c>
      <c r="B69" s="416"/>
      <c r="C69" s="54" t="s">
        <v>587</v>
      </c>
      <c r="D69" s="413">
        <v>0</v>
      </c>
      <c r="E69" s="413">
        <v>0</v>
      </c>
      <c r="F69" s="413">
        <v>30000</v>
      </c>
      <c r="G69" s="211">
        <f>IF(D69&gt;0,F69/D69*100,0)</f>
        <v>0</v>
      </c>
      <c r="H69" s="414">
        <f>F69/$F$96*100</f>
        <v>0.19203687107924722</v>
      </c>
    </row>
    <row r="70" spans="1:8" ht="24.75" customHeight="1">
      <c r="A70" s="415">
        <v>731120</v>
      </c>
      <c r="B70" s="416"/>
      <c r="C70" s="54" t="s">
        <v>501</v>
      </c>
      <c r="D70" s="413">
        <v>0</v>
      </c>
      <c r="E70" s="413">
        <v>3912</v>
      </c>
      <c r="F70" s="413">
        <v>0</v>
      </c>
      <c r="G70" s="211">
        <f t="shared" si="0"/>
        <v>0</v>
      </c>
      <c r="H70" s="414">
        <f t="shared" si="1"/>
        <v>0</v>
      </c>
    </row>
    <row r="71" spans="1:8" ht="13.5" customHeight="1">
      <c r="A71" s="240">
        <v>731200</v>
      </c>
      <c r="B71" s="76"/>
      <c r="C71" s="77" t="s">
        <v>186</v>
      </c>
      <c r="D71" s="75">
        <f>SUM(D73:D74)</f>
        <v>0</v>
      </c>
      <c r="E71" s="75">
        <f>SUM(E73:E74)</f>
        <v>25900</v>
      </c>
      <c r="F71" s="75">
        <f>SUM(F73:F74)</f>
        <v>0</v>
      </c>
      <c r="G71" s="168">
        <f aca="true" t="shared" si="2" ref="G71:G96">IF(D71&gt;0,F71/D71*100,0)</f>
        <v>0</v>
      </c>
      <c r="H71" s="318">
        <f t="shared" si="1"/>
        <v>0</v>
      </c>
    </row>
    <row r="72" spans="1:8" ht="0.75" customHeight="1" hidden="1">
      <c r="A72" s="415">
        <v>731210</v>
      </c>
      <c r="B72" s="417"/>
      <c r="C72" s="54" t="s">
        <v>342</v>
      </c>
      <c r="D72" s="413">
        <v>0</v>
      </c>
      <c r="E72" s="413"/>
      <c r="F72" s="413"/>
      <c r="G72" s="139">
        <f t="shared" si="2"/>
        <v>0</v>
      </c>
      <c r="H72" s="371">
        <f aca="true" t="shared" si="3" ref="H72:H96">F72/$F$96*100</f>
        <v>0</v>
      </c>
    </row>
    <row r="73" spans="1:8" ht="12.75" customHeight="1">
      <c r="A73" s="241">
        <v>731200</v>
      </c>
      <c r="B73" s="53"/>
      <c r="C73" s="74" t="s">
        <v>554</v>
      </c>
      <c r="D73" s="211">
        <v>0</v>
      </c>
      <c r="E73" s="211">
        <v>900</v>
      </c>
      <c r="F73" s="211">
        <v>0</v>
      </c>
      <c r="G73" s="211">
        <f t="shared" si="2"/>
        <v>0</v>
      </c>
      <c r="H73" s="227">
        <f t="shared" si="3"/>
        <v>0</v>
      </c>
    </row>
    <row r="74" spans="1:8" ht="33" customHeight="1">
      <c r="A74" s="241">
        <v>731200</v>
      </c>
      <c r="B74" s="53"/>
      <c r="C74" s="74" t="s">
        <v>565</v>
      </c>
      <c r="D74" s="211">
        <v>0</v>
      </c>
      <c r="E74" s="211">
        <v>25000</v>
      </c>
      <c r="F74" s="211">
        <v>0</v>
      </c>
      <c r="G74" s="211">
        <f t="shared" si="2"/>
        <v>0</v>
      </c>
      <c r="H74" s="227">
        <f t="shared" si="3"/>
        <v>0</v>
      </c>
    </row>
    <row r="75" spans="1:8" ht="9" customHeight="1" hidden="1">
      <c r="A75" s="241">
        <v>731200</v>
      </c>
      <c r="B75" s="53"/>
      <c r="C75" s="74" t="s">
        <v>454</v>
      </c>
      <c r="D75" s="211"/>
      <c r="E75" s="211"/>
      <c r="F75" s="211"/>
      <c r="G75" s="139">
        <f t="shared" si="2"/>
        <v>0</v>
      </c>
      <c r="H75" s="227">
        <f t="shared" si="3"/>
        <v>0</v>
      </c>
    </row>
    <row r="76" spans="1:8" ht="0.75" customHeight="1" hidden="1">
      <c r="A76" s="241">
        <v>731200</v>
      </c>
      <c r="B76" s="53"/>
      <c r="C76" s="74" t="s">
        <v>455</v>
      </c>
      <c r="D76" s="211"/>
      <c r="E76" s="211"/>
      <c r="F76" s="211"/>
      <c r="G76" s="139">
        <f t="shared" si="2"/>
        <v>0</v>
      </c>
      <c r="H76" s="227">
        <f t="shared" si="3"/>
        <v>0</v>
      </c>
    </row>
    <row r="77" spans="1:8" ht="3" customHeight="1" hidden="1">
      <c r="A77" s="241">
        <v>731200</v>
      </c>
      <c r="B77" s="53"/>
      <c r="C77" s="74" t="s">
        <v>451</v>
      </c>
      <c r="D77" s="211"/>
      <c r="E77" s="211"/>
      <c r="F77" s="211"/>
      <c r="G77" s="139">
        <f t="shared" si="2"/>
        <v>0</v>
      </c>
      <c r="H77" s="227">
        <f t="shared" si="3"/>
        <v>0</v>
      </c>
    </row>
    <row r="78" spans="1:8" s="2" customFormat="1" ht="15" customHeight="1">
      <c r="A78" s="239">
        <v>780000</v>
      </c>
      <c r="B78" s="314"/>
      <c r="C78" s="72" t="s">
        <v>365</v>
      </c>
      <c r="D78" s="57">
        <f>D79</f>
        <v>990900</v>
      </c>
      <c r="E78" s="57">
        <f>E79</f>
        <v>1296910</v>
      </c>
      <c r="F78" s="57">
        <f>F79</f>
        <v>1155000</v>
      </c>
      <c r="G78" s="432">
        <f t="shared" si="2"/>
        <v>116.56070239176506</v>
      </c>
      <c r="H78" s="317">
        <f t="shared" si="3"/>
        <v>7.393419536551018</v>
      </c>
    </row>
    <row r="79" spans="1:8" s="2" customFormat="1" ht="24" customHeight="1">
      <c r="A79" s="234">
        <v>787000</v>
      </c>
      <c r="B79" s="64"/>
      <c r="C79" s="73" t="s">
        <v>379</v>
      </c>
      <c r="D79" s="75">
        <f>SUM(D80:D88)</f>
        <v>990900</v>
      </c>
      <c r="E79" s="75">
        <f>SUM(E80:E88)</f>
        <v>1296910</v>
      </c>
      <c r="F79" s="75">
        <f>SUM(F80:F88)</f>
        <v>1155000</v>
      </c>
      <c r="G79" s="168">
        <f t="shared" si="2"/>
        <v>116.56070239176506</v>
      </c>
      <c r="H79" s="318">
        <f t="shared" si="3"/>
        <v>7.393419536551018</v>
      </c>
    </row>
    <row r="80" spans="1:8" s="2" customFormat="1" ht="25.5" customHeight="1">
      <c r="A80" s="237">
        <v>787200</v>
      </c>
      <c r="B80" s="84"/>
      <c r="C80" s="74" t="s">
        <v>249</v>
      </c>
      <c r="D80" s="211">
        <v>890000</v>
      </c>
      <c r="E80" s="211">
        <v>885000</v>
      </c>
      <c r="F80" s="211">
        <v>869000</v>
      </c>
      <c r="G80" s="211">
        <f t="shared" si="2"/>
        <v>97.64044943820225</v>
      </c>
      <c r="H80" s="227">
        <f t="shared" si="3"/>
        <v>5.562668032262194</v>
      </c>
    </row>
    <row r="81" spans="1:8" s="2" customFormat="1" ht="36" customHeight="1">
      <c r="A81" s="237">
        <v>787200</v>
      </c>
      <c r="B81" s="84"/>
      <c r="C81" s="74" t="s">
        <v>402</v>
      </c>
      <c r="D81" s="211">
        <v>90000</v>
      </c>
      <c r="E81" s="211">
        <v>25000</v>
      </c>
      <c r="F81" s="211">
        <v>24000</v>
      </c>
      <c r="G81" s="211">
        <f t="shared" si="2"/>
        <v>26.666666666666668</v>
      </c>
      <c r="H81" s="227">
        <f t="shared" si="3"/>
        <v>0.15362949686339777</v>
      </c>
    </row>
    <row r="82" spans="1:8" s="2" customFormat="1" ht="25.5" customHeight="1">
      <c r="A82" s="237">
        <v>787200</v>
      </c>
      <c r="B82" s="84"/>
      <c r="C82" s="74" t="s">
        <v>500</v>
      </c>
      <c r="D82" s="211">
        <v>4900</v>
      </c>
      <c r="E82" s="211">
        <v>4910</v>
      </c>
      <c r="F82" s="211">
        <v>6000</v>
      </c>
      <c r="G82" s="211">
        <f t="shared" si="2"/>
        <v>122.44897959183673</v>
      </c>
      <c r="H82" s="227">
        <f t="shared" si="3"/>
        <v>0.038407374215849444</v>
      </c>
    </row>
    <row r="83" spans="1:8" s="2" customFormat="1" ht="33" customHeight="1">
      <c r="A83" s="237">
        <v>787200</v>
      </c>
      <c r="B83" s="84"/>
      <c r="C83" s="74" t="s">
        <v>566</v>
      </c>
      <c r="D83" s="211">
        <v>0</v>
      </c>
      <c r="E83" s="211">
        <v>1000</v>
      </c>
      <c r="F83" s="211">
        <v>0</v>
      </c>
      <c r="G83" s="211">
        <f>IF(D83&gt;0,F83/D83*100,0)</f>
        <v>0</v>
      </c>
      <c r="H83" s="227">
        <f>F83/$F$96*100</f>
        <v>0</v>
      </c>
    </row>
    <row r="84" spans="1:8" s="2" customFormat="1" ht="24.75" customHeight="1">
      <c r="A84" s="237">
        <v>787200</v>
      </c>
      <c r="B84" s="84"/>
      <c r="C84" s="74" t="s">
        <v>523</v>
      </c>
      <c r="D84" s="211">
        <v>0</v>
      </c>
      <c r="E84" s="211">
        <v>225000</v>
      </c>
      <c r="F84" s="211">
        <v>250000</v>
      </c>
      <c r="G84" s="211">
        <f t="shared" si="2"/>
        <v>0</v>
      </c>
      <c r="H84" s="227">
        <f t="shared" si="3"/>
        <v>1.6003072589937268</v>
      </c>
    </row>
    <row r="85" spans="1:8" s="2" customFormat="1" ht="24">
      <c r="A85" s="237">
        <v>787200</v>
      </c>
      <c r="B85" s="84"/>
      <c r="C85" s="74" t="s">
        <v>543</v>
      </c>
      <c r="D85" s="211">
        <v>0</v>
      </c>
      <c r="E85" s="211">
        <v>150000</v>
      </c>
      <c r="F85" s="211">
        <v>0</v>
      </c>
      <c r="G85" s="211">
        <f t="shared" si="2"/>
        <v>0</v>
      </c>
      <c r="H85" s="227">
        <f t="shared" si="3"/>
        <v>0</v>
      </c>
    </row>
    <row r="86" spans="1:8" s="2" customFormat="1" ht="24" customHeight="1">
      <c r="A86" s="237">
        <v>787200</v>
      </c>
      <c r="B86" s="84"/>
      <c r="C86" s="40" t="s">
        <v>432</v>
      </c>
      <c r="D86" s="211">
        <v>3000</v>
      </c>
      <c r="E86" s="211">
        <v>3000</v>
      </c>
      <c r="F86" s="211">
        <v>5000</v>
      </c>
      <c r="G86" s="211">
        <f t="shared" si="2"/>
        <v>166.66666666666669</v>
      </c>
      <c r="H86" s="227">
        <f t="shared" si="3"/>
        <v>0.03200614517987453</v>
      </c>
    </row>
    <row r="87" spans="1:8" s="2" customFormat="1" ht="24" customHeight="1">
      <c r="A87" s="237">
        <v>787300</v>
      </c>
      <c r="B87" s="84"/>
      <c r="C87" s="40" t="s">
        <v>444</v>
      </c>
      <c r="D87" s="211">
        <v>2000</v>
      </c>
      <c r="E87" s="211">
        <v>2000</v>
      </c>
      <c r="F87" s="211">
        <v>700</v>
      </c>
      <c r="G87" s="211">
        <f t="shared" si="2"/>
        <v>35</v>
      </c>
      <c r="H87" s="227">
        <f t="shared" si="3"/>
        <v>0.004480860325182435</v>
      </c>
    </row>
    <row r="88" spans="1:8" s="2" customFormat="1" ht="24" customHeight="1">
      <c r="A88" s="237">
        <v>787400</v>
      </c>
      <c r="B88" s="84"/>
      <c r="C88" s="40" t="s">
        <v>466</v>
      </c>
      <c r="D88" s="211">
        <v>1000</v>
      </c>
      <c r="E88" s="211">
        <v>1000</v>
      </c>
      <c r="F88" s="211">
        <v>300</v>
      </c>
      <c r="G88" s="211">
        <f t="shared" si="2"/>
        <v>30</v>
      </c>
      <c r="H88" s="227">
        <f t="shared" si="3"/>
        <v>0.0019203687107924722</v>
      </c>
    </row>
    <row r="89" spans="1:8" ht="15" customHeight="1">
      <c r="A89" s="230">
        <v>810000</v>
      </c>
      <c r="B89" s="19"/>
      <c r="C89" s="140" t="s">
        <v>300</v>
      </c>
      <c r="D89" s="139">
        <f>D90+D92+D94</f>
        <v>205000</v>
      </c>
      <c r="E89" s="139">
        <f>E90+E92+E94</f>
        <v>194000</v>
      </c>
      <c r="F89" s="139">
        <f>F90+F92+F94</f>
        <v>405500</v>
      </c>
      <c r="G89" s="139">
        <f t="shared" si="2"/>
        <v>197.8048780487805</v>
      </c>
      <c r="H89" s="184">
        <f t="shared" si="3"/>
        <v>2.5956983740878248</v>
      </c>
    </row>
    <row r="90" spans="1:8" ht="14.25" customHeight="1" hidden="1">
      <c r="A90" s="230">
        <v>811000</v>
      </c>
      <c r="B90" s="19"/>
      <c r="C90" s="49" t="s">
        <v>185</v>
      </c>
      <c r="D90" s="75">
        <f>SUM(D91:D91)</f>
        <v>0</v>
      </c>
      <c r="E90" s="75">
        <f>SUM(E91:E91)</f>
        <v>0</v>
      </c>
      <c r="F90" s="75">
        <f>SUM(F91:F91)</f>
        <v>0</v>
      </c>
      <c r="G90" s="139">
        <f t="shared" si="2"/>
        <v>0</v>
      </c>
      <c r="H90" s="318">
        <f t="shared" si="3"/>
        <v>0</v>
      </c>
    </row>
    <row r="91" spans="1:8" ht="11.25" customHeight="1" hidden="1">
      <c r="A91" s="241">
        <v>811120</v>
      </c>
      <c r="B91" s="315" t="s">
        <v>24</v>
      </c>
      <c r="C91" s="74" t="s">
        <v>204</v>
      </c>
      <c r="D91" s="211"/>
      <c r="E91" s="211"/>
      <c r="F91" s="211"/>
      <c r="G91" s="139">
        <f t="shared" si="2"/>
        <v>0</v>
      </c>
      <c r="H91" s="227">
        <f t="shared" si="3"/>
        <v>0</v>
      </c>
    </row>
    <row r="92" spans="1:8" ht="14.25" customHeight="1">
      <c r="A92" s="230">
        <v>813000</v>
      </c>
      <c r="B92" s="19"/>
      <c r="C92" s="49" t="s">
        <v>172</v>
      </c>
      <c r="D92" s="75">
        <f>SUM(D93:D93)</f>
        <v>200000</v>
      </c>
      <c r="E92" s="75">
        <f>SUM(E93:E93)</f>
        <v>188500</v>
      </c>
      <c r="F92" s="75">
        <f>SUM(F93:F93)</f>
        <v>400000</v>
      </c>
      <c r="G92" s="168">
        <f t="shared" si="2"/>
        <v>200</v>
      </c>
      <c r="H92" s="318">
        <f t="shared" si="3"/>
        <v>2.560491614389963</v>
      </c>
    </row>
    <row r="93" spans="1:8" ht="14.25" customHeight="1">
      <c r="A93" s="241">
        <v>813110</v>
      </c>
      <c r="B93" s="315" t="s">
        <v>24</v>
      </c>
      <c r="C93" s="74" t="s">
        <v>173</v>
      </c>
      <c r="D93" s="211">
        <v>200000</v>
      </c>
      <c r="E93" s="211">
        <v>188500</v>
      </c>
      <c r="F93" s="211">
        <v>400000</v>
      </c>
      <c r="G93" s="211">
        <f t="shared" si="2"/>
        <v>200</v>
      </c>
      <c r="H93" s="227">
        <f t="shared" si="3"/>
        <v>2.560491614389963</v>
      </c>
    </row>
    <row r="94" spans="1:8" ht="24" customHeight="1">
      <c r="A94" s="230">
        <v>816000</v>
      </c>
      <c r="B94" s="19"/>
      <c r="C94" s="49" t="s">
        <v>288</v>
      </c>
      <c r="D94" s="75">
        <f>SUM(D95)</f>
        <v>5000</v>
      </c>
      <c r="E94" s="75">
        <f>SUM(E95)</f>
        <v>5500</v>
      </c>
      <c r="F94" s="75">
        <f>SUM(F95)</f>
        <v>5500</v>
      </c>
      <c r="G94" s="168">
        <f t="shared" si="2"/>
        <v>110.00000000000001</v>
      </c>
      <c r="H94" s="318">
        <f t="shared" si="3"/>
        <v>0.03520675969786199</v>
      </c>
    </row>
    <row r="95" spans="1:8" ht="15" customHeight="1">
      <c r="A95" s="237">
        <v>816150</v>
      </c>
      <c r="B95" s="315" t="s">
        <v>32</v>
      </c>
      <c r="C95" s="74" t="s">
        <v>178</v>
      </c>
      <c r="D95" s="211">
        <v>5000</v>
      </c>
      <c r="E95" s="211">
        <v>5500</v>
      </c>
      <c r="F95" s="211">
        <v>5500</v>
      </c>
      <c r="G95" s="211">
        <f t="shared" si="2"/>
        <v>110.00000000000001</v>
      </c>
      <c r="H95" s="227">
        <f t="shared" si="3"/>
        <v>0.03520675969786199</v>
      </c>
    </row>
    <row r="96" spans="1:8" ht="29.25" customHeight="1" thickBot="1">
      <c r="A96" s="159"/>
      <c r="B96" s="316"/>
      <c r="C96" s="160" t="s">
        <v>301</v>
      </c>
      <c r="D96" s="182">
        <f>D5+D89</f>
        <v>14546000</v>
      </c>
      <c r="E96" s="182">
        <f>E5+E89</f>
        <v>14845942</v>
      </c>
      <c r="F96" s="182">
        <f>F5+F89</f>
        <v>15622000</v>
      </c>
      <c r="G96" s="345">
        <f t="shared" si="2"/>
        <v>107.39722260415235</v>
      </c>
      <c r="H96" s="346">
        <f t="shared" si="3"/>
        <v>100</v>
      </c>
    </row>
    <row r="97" spans="1:8" ht="16.5" customHeight="1" thickTop="1">
      <c r="A97" s="128"/>
      <c r="B97" s="128"/>
      <c r="C97" s="191"/>
      <c r="D97" s="190"/>
      <c r="E97" s="190"/>
      <c r="F97" s="190"/>
      <c r="G97" s="190"/>
      <c r="H97"/>
    </row>
    <row r="98" spans="1:8" ht="15.75">
      <c r="A98" s="128"/>
      <c r="B98" s="128"/>
      <c r="C98" s="388"/>
      <c r="D98" s="190"/>
      <c r="E98" s="190"/>
      <c r="F98" s="190"/>
      <c r="G98" s="190"/>
      <c r="H98" s="180"/>
    </row>
    <row r="99" spans="1:8" ht="15.75">
      <c r="A99" s="128"/>
      <c r="B99" s="128"/>
      <c r="C99" s="388"/>
      <c r="D99" s="190"/>
      <c r="E99" s="190"/>
      <c r="F99" s="190"/>
      <c r="G99" s="190"/>
      <c r="H99" s="180"/>
    </row>
    <row r="100" spans="1:8" ht="15.75">
      <c r="A100" s="128"/>
      <c r="B100" s="128"/>
      <c r="C100" s="388"/>
      <c r="D100" s="190"/>
      <c r="E100" s="190"/>
      <c r="F100" s="190"/>
      <c r="G100" s="190"/>
      <c r="H100"/>
    </row>
    <row r="101" spans="1:8" ht="13.5" customHeight="1">
      <c r="A101" s="128"/>
      <c r="B101" s="128"/>
      <c r="C101" s="388"/>
      <c r="D101" s="430"/>
      <c r="E101" s="430"/>
      <c r="F101" s="430"/>
      <c r="G101" s="190"/>
      <c r="H101" s="1"/>
    </row>
    <row r="102" spans="1:8" ht="12.75">
      <c r="A102" s="128"/>
      <c r="B102" s="128"/>
      <c r="C102" s="189"/>
      <c r="D102" s="423"/>
      <c r="E102" s="423"/>
      <c r="F102" s="423"/>
      <c r="G102" s="190"/>
      <c r="H102"/>
    </row>
    <row r="103" spans="1:8" ht="15.75" customHeight="1">
      <c r="A103" s="128"/>
      <c r="B103" s="128"/>
      <c r="C103" s="218"/>
      <c r="D103" s="389"/>
      <c r="E103" s="389"/>
      <c r="F103" s="389"/>
      <c r="G103" s="190"/>
      <c r="H103" s="1"/>
    </row>
    <row r="104" spans="1:8" ht="12.75">
      <c r="A104" s="128"/>
      <c r="B104" s="128"/>
      <c r="C104" s="128"/>
      <c r="D104" s="128"/>
      <c r="E104" s="128"/>
      <c r="F104" s="128"/>
      <c r="G104" s="190"/>
      <c r="H104"/>
    </row>
    <row r="105" spans="1:8" ht="15">
      <c r="A105" s="128"/>
      <c r="B105" s="128"/>
      <c r="C105" s="218"/>
      <c r="D105" s="462"/>
      <c r="E105" s="462"/>
      <c r="F105" s="462"/>
      <c r="G105" s="463"/>
      <c r="H105"/>
    </row>
    <row r="106" spans="1:8" ht="14.25">
      <c r="A106" s="128"/>
      <c r="B106" s="128"/>
      <c r="C106" s="190"/>
      <c r="D106" s="464"/>
      <c r="E106" s="463"/>
      <c r="F106" s="463"/>
      <c r="G106" s="464"/>
      <c r="H106"/>
    </row>
    <row r="107" spans="1:8" ht="15">
      <c r="A107" s="128"/>
      <c r="B107" s="128"/>
      <c r="C107" s="218"/>
      <c r="D107" s="465"/>
      <c r="E107" s="465"/>
      <c r="F107" s="465"/>
      <c r="G107" s="464"/>
      <c r="H107"/>
    </row>
    <row r="108" spans="1:8" ht="15.75" customHeight="1">
      <c r="A108" s="128"/>
      <c r="B108" s="128"/>
      <c r="C108" s="128"/>
      <c r="F108" s="128"/>
      <c r="H108"/>
    </row>
    <row r="109" spans="1:8" ht="12.75">
      <c r="A109" s="128"/>
      <c r="B109" s="128"/>
      <c r="C109" s="128"/>
      <c r="H109"/>
    </row>
    <row r="110" spans="1:8" ht="12.75">
      <c r="A110" s="128"/>
      <c r="B110" s="128"/>
      <c r="C110" s="128"/>
      <c r="H110"/>
    </row>
    <row r="111" spans="1:8" ht="14.25">
      <c r="A111" s="128"/>
      <c r="B111" s="128"/>
      <c r="C111" s="128"/>
      <c r="E111" s="464"/>
      <c r="F111" s="463"/>
      <c r="G111" s="464"/>
      <c r="H111"/>
    </row>
    <row r="112" spans="1:8" ht="12.75" customHeight="1">
      <c r="A112" s="128"/>
      <c r="B112" s="128"/>
      <c r="C112" s="128"/>
      <c r="E112" s="464"/>
      <c r="F112" s="463"/>
      <c r="G112" s="464"/>
      <c r="H112"/>
    </row>
    <row r="113" spans="1:8" ht="14.25">
      <c r="A113" s="128"/>
      <c r="B113" s="128"/>
      <c r="C113" s="128"/>
      <c r="E113" s="464"/>
      <c r="F113" s="463"/>
      <c r="G113" s="464"/>
      <c r="H113"/>
    </row>
    <row r="114" spans="1:8" ht="14.25">
      <c r="A114" s="128"/>
      <c r="B114" s="128"/>
      <c r="C114" s="128"/>
      <c r="E114" s="464"/>
      <c r="F114" s="463"/>
      <c r="G114" s="464"/>
      <c r="H114"/>
    </row>
    <row r="115" spans="1:8" ht="15">
      <c r="A115" s="128"/>
      <c r="B115" s="128"/>
      <c r="C115" s="128"/>
      <c r="E115" s="464"/>
      <c r="F115" s="389"/>
      <c r="G115" s="464"/>
      <c r="H115"/>
    </row>
    <row r="116" spans="1:8" ht="12.75">
      <c r="A116" s="128"/>
      <c r="B116" s="128"/>
      <c r="C116" s="128"/>
      <c r="H116"/>
    </row>
    <row r="117" spans="1:8" ht="12.75">
      <c r="A117" s="128"/>
      <c r="B117" s="128"/>
      <c r="C117" s="128"/>
      <c r="H117"/>
    </row>
    <row r="118" spans="1:8" ht="12.75">
      <c r="A118" s="128"/>
      <c r="B118" s="128"/>
      <c r="C118" s="128"/>
      <c r="H118"/>
    </row>
    <row r="119" spans="1:8" ht="12.75">
      <c r="A119" s="128"/>
      <c r="B119" s="128"/>
      <c r="C119" s="128"/>
      <c r="H119"/>
    </row>
    <row r="120" spans="1:8" ht="12.75">
      <c r="A120" s="128"/>
      <c r="B120" s="128"/>
      <c r="C120" s="128"/>
      <c r="H120"/>
    </row>
    <row r="121" spans="1:8" ht="12.75">
      <c r="A121" s="128"/>
      <c r="B121" s="128"/>
      <c r="C121" s="128"/>
      <c r="H121"/>
    </row>
    <row r="122" spans="1:8" ht="12.75">
      <c r="A122" s="128"/>
      <c r="B122" s="128"/>
      <c r="C122" s="128"/>
      <c r="H122"/>
    </row>
    <row r="123" spans="1:8" ht="12.75">
      <c r="A123" s="128"/>
      <c r="B123" s="128"/>
      <c r="C123" s="128"/>
      <c r="H123"/>
    </row>
    <row r="124" spans="1:8" ht="12.75">
      <c r="A124" s="128"/>
      <c r="B124" s="128"/>
      <c r="C124" s="128"/>
      <c r="H124"/>
    </row>
    <row r="125" spans="1:8" ht="12.75">
      <c r="A125" s="128"/>
      <c r="B125" s="128"/>
      <c r="C125" s="128"/>
      <c r="H125"/>
    </row>
    <row r="126" spans="1:8" ht="12.75">
      <c r="A126" s="128"/>
      <c r="B126" s="128"/>
      <c r="C126" s="128"/>
      <c r="H126"/>
    </row>
    <row r="127" spans="1:8" ht="12.75">
      <c r="A127" s="128"/>
      <c r="B127" s="128"/>
      <c r="C127" s="128"/>
      <c r="H127"/>
    </row>
    <row r="128" spans="1:8" ht="12.75">
      <c r="A128" s="128"/>
      <c r="B128" s="128"/>
      <c r="C128" s="128"/>
      <c r="H128"/>
    </row>
    <row r="129" spans="1:8" ht="12.75">
      <c r="A129" s="128"/>
      <c r="B129" s="128"/>
      <c r="C129" s="128"/>
      <c r="H129"/>
    </row>
    <row r="130" spans="1:8" ht="12.75">
      <c r="A130" s="128"/>
      <c r="B130" s="128"/>
      <c r="C130" s="128"/>
      <c r="H130"/>
    </row>
    <row r="131" spans="1:8" ht="12.75">
      <c r="A131" s="128"/>
      <c r="B131" s="128"/>
      <c r="C131" s="128"/>
      <c r="H131"/>
    </row>
    <row r="132" spans="1:8" ht="12.75">
      <c r="A132" s="128"/>
      <c r="B132" s="128"/>
      <c r="C132" s="128"/>
      <c r="H132"/>
    </row>
    <row r="133" spans="1:8" ht="12.75">
      <c r="A133" s="128"/>
      <c r="B133" s="128"/>
      <c r="C133" s="128"/>
      <c r="H133"/>
    </row>
    <row r="134" spans="1:8" ht="12.75">
      <c r="A134" s="128"/>
      <c r="B134" s="128"/>
      <c r="C134" s="128"/>
      <c r="H134"/>
    </row>
    <row r="135" spans="1:8" ht="12.75">
      <c r="A135" s="128"/>
      <c r="B135" s="128"/>
      <c r="C135" s="128"/>
      <c r="H135"/>
    </row>
    <row r="136" spans="1:8" ht="12.75">
      <c r="A136" s="128"/>
      <c r="B136" s="128"/>
      <c r="C136" s="128"/>
      <c r="H136"/>
    </row>
    <row r="137" spans="1:8" ht="12.75">
      <c r="A137" s="128"/>
      <c r="B137" s="128"/>
      <c r="C137" s="128"/>
      <c r="H137"/>
    </row>
    <row r="138" spans="1:8" ht="12.75">
      <c r="A138" s="128"/>
      <c r="B138" s="128"/>
      <c r="C138" s="128"/>
      <c r="H138"/>
    </row>
    <row r="139" spans="1:8" ht="12.75">
      <c r="A139" s="128"/>
      <c r="B139" s="128"/>
      <c r="C139" s="128"/>
      <c r="H139"/>
    </row>
    <row r="140" spans="1:8" ht="12.75">
      <c r="A140" s="128"/>
      <c r="B140" s="128"/>
      <c r="C140" s="128"/>
      <c r="H140"/>
    </row>
    <row r="141" spans="1:8" ht="12.75">
      <c r="A141" s="128"/>
      <c r="B141" s="128"/>
      <c r="C141" s="128"/>
      <c r="H141"/>
    </row>
    <row r="142" spans="1:8" ht="12.75">
      <c r="A142" s="128"/>
      <c r="B142" s="128"/>
      <c r="C142" s="128"/>
      <c r="H142"/>
    </row>
    <row r="143" spans="1:8" ht="12.75">
      <c r="A143" s="128"/>
      <c r="B143" s="128"/>
      <c r="C143" s="128"/>
      <c r="H143"/>
    </row>
    <row r="144" spans="1:8" ht="12.75">
      <c r="A144" s="128"/>
      <c r="B144" s="128"/>
      <c r="C144" s="128"/>
      <c r="H144"/>
    </row>
    <row r="145" spans="1:8" ht="12.75">
      <c r="A145" s="128"/>
      <c r="B145" s="128"/>
      <c r="C145" s="128"/>
      <c r="H145"/>
    </row>
    <row r="146" spans="1:8" ht="12.75">
      <c r="A146" s="128"/>
      <c r="B146" s="128"/>
      <c r="C146" s="128"/>
      <c r="H146"/>
    </row>
    <row r="147" spans="1:8" ht="12.75">
      <c r="A147" s="128"/>
      <c r="B147" s="128"/>
      <c r="C147" s="128"/>
      <c r="H147"/>
    </row>
    <row r="148" spans="1:8" ht="12.75">
      <c r="A148" s="128"/>
      <c r="B148" s="128"/>
      <c r="C148" s="128"/>
      <c r="H148"/>
    </row>
    <row r="149" spans="1:8" ht="12.75">
      <c r="A149" s="128"/>
      <c r="B149" s="128"/>
      <c r="C149" s="128"/>
      <c r="H149"/>
    </row>
    <row r="150" spans="1:8" ht="12.75">
      <c r="A150" s="128"/>
      <c r="B150" s="128"/>
      <c r="C150" s="128"/>
      <c r="H150"/>
    </row>
    <row r="151" spans="1:8" ht="12.75">
      <c r="A151" s="128"/>
      <c r="B151" s="128"/>
      <c r="C151" s="128"/>
      <c r="H151"/>
    </row>
    <row r="152" spans="1:8" ht="12.75">
      <c r="A152" s="128"/>
      <c r="B152" s="128"/>
      <c r="C152" s="128"/>
      <c r="H152"/>
    </row>
    <row r="153" spans="1:8" ht="12.75">
      <c r="A153" s="128"/>
      <c r="B153" s="128"/>
      <c r="C153" s="128"/>
      <c r="H153"/>
    </row>
    <row r="154" spans="1:8" ht="12.75">
      <c r="A154" s="128"/>
      <c r="B154" s="128"/>
      <c r="C154" s="128"/>
      <c r="H154"/>
    </row>
    <row r="155" spans="1:8" ht="12.75">
      <c r="A155" s="128"/>
      <c r="B155" s="128"/>
      <c r="C155" s="128"/>
      <c r="H155"/>
    </row>
    <row r="156" spans="1:8" ht="12.75">
      <c r="A156" s="128"/>
      <c r="B156" s="128"/>
      <c r="C156" s="128"/>
      <c r="H156"/>
    </row>
    <row r="157" spans="1:7" ht="12.75">
      <c r="A157" s="128"/>
      <c r="B157" s="128"/>
      <c r="C157" s="3"/>
      <c r="D157" s="128"/>
      <c r="E157" s="128"/>
      <c r="F157" s="128"/>
      <c r="G157" s="128"/>
    </row>
    <row r="158" spans="1:7" ht="12.75">
      <c r="A158" s="4"/>
      <c r="B158" s="4"/>
      <c r="C158" s="3"/>
      <c r="D158" s="128"/>
      <c r="E158" s="128"/>
      <c r="F158" s="128"/>
      <c r="G158" s="128"/>
    </row>
    <row r="159" spans="1:7" ht="12.75">
      <c r="A159" s="4"/>
      <c r="B159" s="4"/>
      <c r="C159" s="3"/>
      <c r="D159" s="128"/>
      <c r="E159" s="128"/>
      <c r="F159" s="128"/>
      <c r="G159" s="128"/>
    </row>
    <row r="160" spans="1:7" ht="12.75">
      <c r="A160" s="4"/>
      <c r="B160" s="4"/>
      <c r="C160" s="3"/>
      <c r="D160" s="128"/>
      <c r="E160" s="128"/>
      <c r="F160" s="128"/>
      <c r="G160" s="128"/>
    </row>
    <row r="161" spans="1:7" ht="12.75">
      <c r="A161" s="4"/>
      <c r="B161" s="4"/>
      <c r="C161" s="3"/>
      <c r="D161" s="128"/>
      <c r="E161" s="128"/>
      <c r="F161" s="128"/>
      <c r="G161" s="128"/>
    </row>
    <row r="162" spans="1:7" ht="12.75">
      <c r="A162" s="4"/>
      <c r="B162" s="4"/>
      <c r="C162" s="3"/>
      <c r="D162" s="128"/>
      <c r="E162" s="128"/>
      <c r="F162" s="128"/>
      <c r="G162" s="128"/>
    </row>
    <row r="163" spans="1:7" ht="12.75">
      <c r="A163" s="4"/>
      <c r="B163" s="4"/>
      <c r="C163" s="3"/>
      <c r="D163" s="128"/>
      <c r="E163" s="128"/>
      <c r="F163" s="128"/>
      <c r="G163" s="128"/>
    </row>
    <row r="164" spans="1:7" ht="12.75">
      <c r="A164" s="4"/>
      <c r="B164" s="4"/>
      <c r="C164" s="3"/>
      <c r="D164" s="128"/>
      <c r="E164" s="128"/>
      <c r="F164" s="128"/>
      <c r="G164" s="128"/>
    </row>
    <row r="165" spans="1:7" ht="12.75">
      <c r="A165" s="4"/>
      <c r="B165" s="4"/>
      <c r="C165" s="3"/>
      <c r="D165" s="128"/>
      <c r="E165" s="128"/>
      <c r="F165" s="128"/>
      <c r="G165" s="128"/>
    </row>
    <row r="166" spans="1:7" ht="12.75">
      <c r="A166" s="4"/>
      <c r="B166" s="4"/>
      <c r="C166" s="3"/>
      <c r="D166" s="128"/>
      <c r="E166" s="128"/>
      <c r="F166" s="128"/>
      <c r="G166" s="128"/>
    </row>
    <row r="167" spans="1:7" ht="12.75">
      <c r="A167" s="4"/>
      <c r="B167" s="4"/>
      <c r="C167" s="3"/>
      <c r="D167" s="128"/>
      <c r="E167" s="128"/>
      <c r="F167" s="128"/>
      <c r="G167" s="128"/>
    </row>
    <row r="168" spans="1:7" ht="12.75">
      <c r="A168" s="4"/>
      <c r="B168" s="4"/>
      <c r="C168" s="3"/>
      <c r="D168" s="128"/>
      <c r="E168" s="128"/>
      <c r="F168" s="128"/>
      <c r="G168" s="128"/>
    </row>
    <row r="169" spans="1:7" s="126" customFormat="1" ht="12.75">
      <c r="A169" s="4"/>
      <c r="B169" s="4"/>
      <c r="C169" s="3"/>
      <c r="D169" s="128"/>
      <c r="E169" s="128"/>
      <c r="F169" s="128"/>
      <c r="G169" s="128"/>
    </row>
    <row r="170" spans="1:7" s="126" customFormat="1" ht="12.75">
      <c r="A170" s="4"/>
      <c r="B170" s="4"/>
      <c r="C170" s="3"/>
      <c r="D170" s="128"/>
      <c r="E170" s="128"/>
      <c r="F170" s="128"/>
      <c r="G170" s="128"/>
    </row>
    <row r="171" spans="1:7" s="126" customFormat="1" ht="12.75">
      <c r="A171" s="4"/>
      <c r="B171" s="4"/>
      <c r="C171" s="3"/>
      <c r="D171" s="128"/>
      <c r="E171" s="128"/>
      <c r="F171" s="128"/>
      <c r="G171" s="128"/>
    </row>
    <row r="172" spans="1:7" s="126" customFormat="1" ht="12.75">
      <c r="A172" s="4"/>
      <c r="B172" s="4"/>
      <c r="C172" s="3"/>
      <c r="D172" s="128"/>
      <c r="E172" s="128"/>
      <c r="F172" s="128"/>
      <c r="G172" s="128"/>
    </row>
    <row r="173" spans="1:7" s="126" customFormat="1" ht="12.75">
      <c r="A173" s="4"/>
      <c r="B173" s="4"/>
      <c r="C173" s="3"/>
      <c r="D173" s="128"/>
      <c r="E173" s="128"/>
      <c r="F173" s="128"/>
      <c r="G173" s="128"/>
    </row>
    <row r="174" spans="1:7" s="126" customFormat="1" ht="12.75">
      <c r="A174" s="4"/>
      <c r="B174" s="4"/>
      <c r="C174" s="3"/>
      <c r="D174" s="128"/>
      <c r="E174" s="128"/>
      <c r="F174" s="128"/>
      <c r="G174" s="128"/>
    </row>
    <row r="175" spans="1:7" s="126" customFormat="1" ht="12.75">
      <c r="A175" s="4"/>
      <c r="B175" s="4"/>
      <c r="C175" s="3"/>
      <c r="D175" s="128"/>
      <c r="E175" s="128"/>
      <c r="F175" s="128"/>
      <c r="G175" s="128"/>
    </row>
    <row r="176" spans="1:7" s="126" customFormat="1" ht="12.75">
      <c r="A176" s="4"/>
      <c r="B176" s="4"/>
      <c r="C176" s="3"/>
      <c r="D176" s="128"/>
      <c r="E176" s="128"/>
      <c r="F176" s="128"/>
      <c r="G176" s="128"/>
    </row>
    <row r="177" spans="1:7" s="126" customFormat="1" ht="12.75">
      <c r="A177" s="4"/>
      <c r="B177" s="4"/>
      <c r="C177" s="3"/>
      <c r="D177" s="128"/>
      <c r="E177" s="128"/>
      <c r="F177" s="128"/>
      <c r="G177" s="128"/>
    </row>
    <row r="178" spans="1:7" s="126" customFormat="1" ht="12.75">
      <c r="A178" s="4"/>
      <c r="B178" s="4"/>
      <c r="C178" s="3"/>
      <c r="D178" s="128"/>
      <c r="E178" s="128"/>
      <c r="F178" s="128"/>
      <c r="G178" s="128"/>
    </row>
    <row r="179" spans="1:7" s="126" customFormat="1" ht="12.75">
      <c r="A179" s="4"/>
      <c r="B179" s="4"/>
      <c r="C179" s="3"/>
      <c r="D179" s="128"/>
      <c r="E179" s="128"/>
      <c r="F179" s="128"/>
      <c r="G179" s="128"/>
    </row>
    <row r="180" spans="1:7" s="126" customFormat="1" ht="12.75">
      <c r="A180" s="4"/>
      <c r="B180" s="4"/>
      <c r="C180" s="3"/>
      <c r="D180" s="128"/>
      <c r="E180" s="128"/>
      <c r="F180" s="128"/>
      <c r="G180" s="128"/>
    </row>
    <row r="181" spans="1:7" s="126" customFormat="1" ht="12.75">
      <c r="A181" s="4"/>
      <c r="B181" s="4"/>
      <c r="C181" s="3"/>
      <c r="D181" s="128"/>
      <c r="E181" s="128"/>
      <c r="F181" s="128"/>
      <c r="G181" s="128"/>
    </row>
    <row r="182" spans="1:7" s="126" customFormat="1" ht="12.75">
      <c r="A182" s="4"/>
      <c r="B182" s="4"/>
      <c r="C182" s="3"/>
      <c r="D182" s="128"/>
      <c r="E182" s="128"/>
      <c r="F182" s="128"/>
      <c r="G182" s="128"/>
    </row>
    <row r="183" spans="1:7" s="126" customFormat="1" ht="12.75">
      <c r="A183" s="4"/>
      <c r="B183" s="4"/>
      <c r="C183"/>
      <c r="D183" s="128"/>
      <c r="E183" s="128"/>
      <c r="F183" s="128"/>
      <c r="G183" s="128"/>
    </row>
  </sheetData>
  <sheetProtection/>
  <mergeCells count="9">
    <mergeCell ref="A1:H1"/>
    <mergeCell ref="A2:A3"/>
    <mergeCell ref="C2:C3"/>
    <mergeCell ref="B2:B3"/>
    <mergeCell ref="D2:D3"/>
    <mergeCell ref="G2:G3"/>
    <mergeCell ref="H2:H3"/>
    <mergeCell ref="F2:F3"/>
    <mergeCell ref="E2:E3"/>
  </mergeCells>
  <printOptions horizontalCentered="1"/>
  <pageMargins left="0.15748031496062992" right="0.15748031496062992" top="0.3937007874015748" bottom="0.4724409448818898" header="0.2362204724409449" footer="0.2362204724409449"/>
  <pageSetup horizontalDpi="600" verticalDpi="600" orientation="landscape" paperSize="9" scale="97" r:id="rId1"/>
  <headerFooter alignWithMargins="0">
    <oddFooter>&amp;R&amp;P</oddFooter>
  </headerFooter>
  <rowBreaks count="4" manualBreakCount="4">
    <brk id="33" max="7" man="1"/>
    <brk id="57" max="7" man="1"/>
    <brk id="84" max="7" man="1"/>
    <brk id="10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SheetLayoutView="70" workbookViewId="0" topLeftCell="A1">
      <selection activeCell="A1" sqref="A1:G1"/>
    </sheetView>
  </sheetViews>
  <sheetFormatPr defaultColWidth="9.140625" defaultRowHeight="12.75" customHeight="1"/>
  <cols>
    <col min="1" max="1" width="8.8515625" style="0" customWidth="1"/>
    <col min="2" max="2" width="70.28125" style="0" customWidth="1"/>
    <col min="3" max="3" width="14.57421875" style="0" customWidth="1"/>
    <col min="4" max="4" width="13.7109375" style="0" bestFit="1" customWidth="1"/>
    <col min="5" max="5" width="14.7109375" style="0" customWidth="1"/>
    <col min="6" max="6" width="11.140625" style="0" customWidth="1"/>
    <col min="7" max="7" width="9.421875" style="0" customWidth="1"/>
    <col min="8" max="8" width="6.8515625" style="0" customWidth="1"/>
  </cols>
  <sheetData>
    <row r="1" spans="1:8" ht="39" customHeight="1" thickBot="1">
      <c r="A1" s="533" t="s">
        <v>533</v>
      </c>
      <c r="B1" s="534"/>
      <c r="C1" s="534"/>
      <c r="D1" s="534"/>
      <c r="E1" s="534"/>
      <c r="F1" s="534"/>
      <c r="G1" s="535"/>
      <c r="H1" s="110"/>
    </row>
    <row r="2" spans="1:7" ht="73.5" customHeight="1" thickTop="1">
      <c r="A2" s="319" t="s">
        <v>59</v>
      </c>
      <c r="B2" s="97" t="s">
        <v>222</v>
      </c>
      <c r="C2" s="320" t="s">
        <v>489</v>
      </c>
      <c r="D2" s="320" t="s">
        <v>535</v>
      </c>
      <c r="E2" s="320" t="s">
        <v>537</v>
      </c>
      <c r="F2" s="320" t="s">
        <v>113</v>
      </c>
      <c r="G2" s="321" t="s">
        <v>213</v>
      </c>
    </row>
    <row r="3" spans="1:7" ht="15.75" customHeight="1">
      <c r="A3" s="183">
        <v>1</v>
      </c>
      <c r="B3" s="242">
        <v>2</v>
      </c>
      <c r="C3" s="243">
        <v>3</v>
      </c>
      <c r="D3" s="243">
        <v>4</v>
      </c>
      <c r="E3" s="243">
        <v>5</v>
      </c>
      <c r="F3" s="243" t="s">
        <v>539</v>
      </c>
      <c r="G3" s="94">
        <v>7</v>
      </c>
    </row>
    <row r="4" spans="1:8" ht="24" customHeight="1">
      <c r="A4" s="141"/>
      <c r="B4" s="142" t="s">
        <v>389</v>
      </c>
      <c r="C4" s="144">
        <f>C5+C37+C42</f>
        <v>11560000</v>
      </c>
      <c r="D4" s="144">
        <f>D5+D37+D42</f>
        <v>12064670</v>
      </c>
      <c r="E4" s="144">
        <f>E5+E37+E42</f>
        <v>12637550</v>
      </c>
      <c r="F4" s="144">
        <f>E4/C4*100</f>
        <v>109.32136678200692</v>
      </c>
      <c r="G4" s="143">
        <f>E4/$E$53*100</f>
        <v>85.972359698086</v>
      </c>
      <c r="H4" s="1"/>
    </row>
    <row r="5" spans="1:8" ht="15.75" customHeight="1">
      <c r="A5" s="199">
        <v>410000</v>
      </c>
      <c r="B5" s="124" t="s">
        <v>395</v>
      </c>
      <c r="C5" s="169">
        <f>C6+C11+C21+C25+C27+C29+C32+C35</f>
        <v>11217800</v>
      </c>
      <c r="D5" s="169">
        <f>D6+D11+D21+D25+D27+D29+D32+D35</f>
        <v>11908760</v>
      </c>
      <c r="E5" s="169">
        <f>E6+E11+E21+E25+E27+E29+E32+E35</f>
        <v>12305250</v>
      </c>
      <c r="F5" s="169">
        <f aca="true" t="shared" si="0" ref="F5:F53">E5/C5*100</f>
        <v>109.69396851432545</v>
      </c>
      <c r="G5" s="322">
        <f aca="true" t="shared" si="1" ref="G5:G53">E5/$E$53*100</f>
        <v>83.71174627794728</v>
      </c>
      <c r="H5" s="1"/>
    </row>
    <row r="6" spans="1:8" ht="15.75" customHeight="1">
      <c r="A6" s="173">
        <v>411000</v>
      </c>
      <c r="B6" s="98" t="s">
        <v>384</v>
      </c>
      <c r="C6" s="106">
        <f>SUM(C7:C10)</f>
        <v>4096500</v>
      </c>
      <c r="D6" s="106">
        <f>SUM(D7:D10)</f>
        <v>4294400</v>
      </c>
      <c r="E6" s="106">
        <f>SUM(E7:E10)</f>
        <v>4489500</v>
      </c>
      <c r="F6" s="434">
        <f t="shared" si="0"/>
        <v>109.59355547418528</v>
      </c>
      <c r="G6" s="222">
        <f t="shared" si="1"/>
        <v>30.54175127810035</v>
      </c>
      <c r="H6" s="1"/>
    </row>
    <row r="7" spans="1:8" ht="13.5" customHeight="1">
      <c r="A7" s="172">
        <v>411100</v>
      </c>
      <c r="B7" s="197" t="s">
        <v>380</v>
      </c>
      <c r="C7" s="107">
        <f>SUMIF(Org!$C$10:Org!$D$532,411100,Org!E$10:Org!E$533)</f>
        <v>3141000</v>
      </c>
      <c r="D7" s="107">
        <f>SUMIF(Org!$C$10:Org!$D$532,411100,Org!F$10:Org!F$533)</f>
        <v>3316700</v>
      </c>
      <c r="E7" s="107">
        <f>SUMIF(Org!$C$10:Org!$D$532,411100,Org!G$10:Org!G$533)</f>
        <v>3517000</v>
      </c>
      <c r="F7" s="251">
        <f t="shared" si="0"/>
        <v>111.9707099649793</v>
      </c>
      <c r="G7" s="252">
        <f t="shared" si="1"/>
        <v>23.925902493613748</v>
      </c>
      <c r="H7" s="1"/>
    </row>
    <row r="8" spans="1:8" ht="25.5" customHeight="1">
      <c r="A8" s="172">
        <v>411200</v>
      </c>
      <c r="B8" s="198" t="s">
        <v>385</v>
      </c>
      <c r="C8" s="107">
        <f>SUMIF(Org!$C$8:Org!$D$532,411200,Org!E$8:Org!E$534)</f>
        <v>785500</v>
      </c>
      <c r="D8" s="107">
        <f>SUMIF(Org!$C$8:Org!$D$532,411200,Org!F$8:Org!F$534)</f>
        <v>853000</v>
      </c>
      <c r="E8" s="107">
        <f>SUMIF(Org!$C$8:Org!$D$532,411200,Org!G$8:Org!G$534)</f>
        <v>854500</v>
      </c>
      <c r="F8" s="251">
        <f t="shared" si="0"/>
        <v>108.78421387651179</v>
      </c>
      <c r="G8" s="252">
        <f t="shared" si="1"/>
        <v>5.813103122204421</v>
      </c>
      <c r="H8" s="1"/>
    </row>
    <row r="9" spans="1:8" ht="25.5" customHeight="1">
      <c r="A9" s="172">
        <v>411300</v>
      </c>
      <c r="B9" s="198" t="s">
        <v>494</v>
      </c>
      <c r="C9" s="107">
        <f>SUMIF(Org!$C$10:Org!$D$532,411300,Org!E$10:Org!E$534)</f>
        <v>39000</v>
      </c>
      <c r="D9" s="107">
        <f>SUMIF(Org!$C$10:Org!$D$532,411300,Org!F$10:Org!F$534)</f>
        <v>88900</v>
      </c>
      <c r="E9" s="107">
        <f>SUMIF(Org!$C$10:Org!$D$532,411300,Org!G$10:Org!G$534)</f>
        <v>79000</v>
      </c>
      <c r="F9" s="251">
        <f t="shared" si="0"/>
        <v>202.56410256410254</v>
      </c>
      <c r="G9" s="252">
        <f t="shared" si="1"/>
        <v>0.5374314179685773</v>
      </c>
      <c r="H9" s="1"/>
    </row>
    <row r="10" spans="1:8" ht="14.25" customHeight="1">
      <c r="A10" s="172">
        <v>411400</v>
      </c>
      <c r="B10" s="197" t="s">
        <v>381</v>
      </c>
      <c r="C10" s="107">
        <f>SUMIF(Org!$C$10:Org!$D$532,411400,Org!E$10:Org!E$534)</f>
        <v>131000</v>
      </c>
      <c r="D10" s="107">
        <f>SUMIF(Org!$C$10:Org!$D$532,411400,Org!F$10:Org!F$534)</f>
        <v>35800</v>
      </c>
      <c r="E10" s="107">
        <f>SUMIF(Org!$C$10:Org!$D$532,411400,Org!G$10:Org!G$534)</f>
        <v>39000</v>
      </c>
      <c r="F10" s="251">
        <f t="shared" si="0"/>
        <v>29.770992366412212</v>
      </c>
      <c r="G10" s="252">
        <f t="shared" si="1"/>
        <v>0.2653142443136014</v>
      </c>
      <c r="H10" s="1"/>
    </row>
    <row r="11" spans="1:8" ht="15.75" customHeight="1">
      <c r="A11" s="173">
        <v>412000</v>
      </c>
      <c r="B11" s="99" t="s">
        <v>134</v>
      </c>
      <c r="C11" s="106">
        <f>SUM(C12:C20)</f>
        <v>2556500</v>
      </c>
      <c r="D11" s="106">
        <f>SUM(D12:D20)</f>
        <v>2604782</v>
      </c>
      <c r="E11" s="106">
        <f>SUM(E12:E20)</f>
        <v>2742450</v>
      </c>
      <c r="F11" s="434">
        <f t="shared" si="0"/>
        <v>107.27361627224721</v>
      </c>
      <c r="G11" s="222">
        <f t="shared" si="1"/>
        <v>18.656693572252212</v>
      </c>
      <c r="H11" s="1"/>
    </row>
    <row r="12" spans="1:12" ht="15" customHeight="1">
      <c r="A12" s="174">
        <v>412100</v>
      </c>
      <c r="B12" s="100" t="s">
        <v>135</v>
      </c>
      <c r="C12" s="107">
        <f>SUMIF(Org!$C$10:Org!$D$532,412100,Org!E$10:Org!E$533)</f>
        <v>58850</v>
      </c>
      <c r="D12" s="107">
        <f>SUMIF(Org!$C$10:Org!$D$532,412100,Org!F$10:Org!F$533)</f>
        <v>62750</v>
      </c>
      <c r="E12" s="107">
        <f>SUMIF(Org!$C$10:Org!$D$532,412100,Org!G$10:Org!G$533)</f>
        <v>58850</v>
      </c>
      <c r="F12" s="251">
        <f t="shared" si="0"/>
        <v>100</v>
      </c>
      <c r="G12" s="252">
        <f t="shared" si="1"/>
        <v>0.40035239173988313</v>
      </c>
      <c r="I12" s="1"/>
      <c r="J12" s="1"/>
      <c r="K12" s="1"/>
      <c r="L12" s="1"/>
    </row>
    <row r="13" spans="1:12" ht="27" customHeight="1">
      <c r="A13" s="174">
        <v>412200</v>
      </c>
      <c r="B13" s="100" t="s">
        <v>136</v>
      </c>
      <c r="C13" s="107">
        <f>SUMIF(Org!$C$10:Org!$D$532,412200,Org!E$10:Org!E$533)</f>
        <v>428500</v>
      </c>
      <c r="D13" s="107">
        <f>SUMIF(Org!$C$10:Org!$D$532,412200,Org!F$10:Org!F$533)</f>
        <v>422749</v>
      </c>
      <c r="E13" s="107">
        <f>SUMIF(Org!$C$10:Org!$D$532,412200,Org!G$10:Org!G$533)</f>
        <v>438400</v>
      </c>
      <c r="F13" s="251">
        <f t="shared" si="0"/>
        <v>102.31038506417735</v>
      </c>
      <c r="G13" s="252">
        <f t="shared" si="1"/>
        <v>2.982404223258535</v>
      </c>
      <c r="I13" s="1"/>
      <c r="J13" s="1"/>
      <c r="K13" s="1"/>
      <c r="L13" s="1"/>
    </row>
    <row r="14" spans="1:12" ht="14.25" customHeight="1">
      <c r="A14" s="174">
        <v>412300</v>
      </c>
      <c r="B14" s="101" t="s">
        <v>137</v>
      </c>
      <c r="C14" s="107">
        <f>SUMIF(Org!$C$10:Org!$D$532,412300,Org!E$10:Org!E$533)</f>
        <v>80400</v>
      </c>
      <c r="D14" s="107">
        <f>SUMIF(Org!$C$10:Org!$D$532,412300,Org!F$10:Org!F$533)</f>
        <v>72239</v>
      </c>
      <c r="E14" s="107">
        <f>SUMIF(Org!$C$10:Org!$D$532,412300,Org!G$10:Org!G$533)</f>
        <v>76000</v>
      </c>
      <c r="F14" s="251">
        <f t="shared" si="0"/>
        <v>94.5273631840796</v>
      </c>
      <c r="G14" s="252">
        <f t="shared" si="1"/>
        <v>0.5170226299444541</v>
      </c>
      <c r="I14" s="1"/>
      <c r="J14" s="1"/>
      <c r="K14" s="1"/>
      <c r="L14" s="1"/>
    </row>
    <row r="15" spans="1:12" ht="14.25" customHeight="1">
      <c r="A15" s="174">
        <v>412400</v>
      </c>
      <c r="B15" s="101" t="s">
        <v>138</v>
      </c>
      <c r="C15" s="107">
        <f>SUMIF(Org!$C$10:Org!$D$532,412400,Org!E$10:Org!E$533)</f>
        <v>78200</v>
      </c>
      <c r="D15" s="107">
        <f>SUMIF(Org!$C$10:Org!$D$532,412400,Org!F$10:Org!F$533)</f>
        <v>74860</v>
      </c>
      <c r="E15" s="107">
        <f>SUMIF(Org!$C$10:Org!$D$532,412400,Org!G$10:Org!G$533)</f>
        <v>68200</v>
      </c>
      <c r="F15" s="251">
        <f t="shared" si="0"/>
        <v>87.21227621483376</v>
      </c>
      <c r="G15" s="252">
        <f t="shared" si="1"/>
        <v>0.4639597810817338</v>
      </c>
      <c r="I15" s="1"/>
      <c r="J15" s="1"/>
      <c r="K15" s="1"/>
      <c r="L15" s="1"/>
    </row>
    <row r="16" spans="1:12" ht="13.5" customHeight="1">
      <c r="A16" s="174">
        <v>412500</v>
      </c>
      <c r="B16" s="101" t="s">
        <v>139</v>
      </c>
      <c r="C16" s="107">
        <f>SUMIF(Org!$C$10:Org!$D$532,412500,Org!E$10:Org!E$533)</f>
        <v>382850</v>
      </c>
      <c r="D16" s="107">
        <f>SUMIF(Org!$C$10:Org!$D$532,412500,Org!F$10:Org!F$533)</f>
        <v>359422</v>
      </c>
      <c r="E16" s="107">
        <f>SUMIF(Org!$C$10:Org!$D$532,412500,Org!G$10:Org!G$533)</f>
        <v>385300</v>
      </c>
      <c r="F16" s="251">
        <f t="shared" si="0"/>
        <v>100.63993731226329</v>
      </c>
      <c r="G16" s="252">
        <f t="shared" si="1"/>
        <v>2.6211686752315546</v>
      </c>
      <c r="I16" s="1"/>
      <c r="J16" s="1"/>
      <c r="K16" s="1"/>
      <c r="L16" s="1"/>
    </row>
    <row r="17" spans="1:12" ht="12.75" customHeight="1">
      <c r="A17" s="174">
        <v>412600</v>
      </c>
      <c r="B17" s="101" t="s">
        <v>140</v>
      </c>
      <c r="C17" s="107">
        <f>SUMIF(Org!$C$10:Org!$D$532,412600,Org!E$10:Org!E$533)</f>
        <v>10600</v>
      </c>
      <c r="D17" s="107">
        <f>SUMIF(Org!$C$10:Org!$D$532,412600,Org!F$10:Org!F$533)</f>
        <v>11144</v>
      </c>
      <c r="E17" s="107">
        <f>SUMIF(Org!$C$10:Org!$D$532,412600,Org!G$10:Org!G$533)</f>
        <v>10600</v>
      </c>
      <c r="F17" s="251">
        <f t="shared" si="0"/>
        <v>100</v>
      </c>
      <c r="G17" s="252">
        <f t="shared" si="1"/>
        <v>0.0721110510185686</v>
      </c>
      <c r="I17" s="1"/>
      <c r="J17" s="1"/>
      <c r="K17" s="1"/>
      <c r="L17" s="1"/>
    </row>
    <row r="18" spans="1:12" ht="12.75" customHeight="1">
      <c r="A18" s="174">
        <v>412700</v>
      </c>
      <c r="B18" s="100" t="s">
        <v>141</v>
      </c>
      <c r="C18" s="107">
        <f>SUMIF(Org!$C$10:Org!$D$532,412700,Org!E$10:Org!E$533)</f>
        <v>373800</v>
      </c>
      <c r="D18" s="107">
        <f>SUMIF(Org!$C$10:Org!$D$532,412700,Org!F$10:Org!F$533)</f>
        <v>359252</v>
      </c>
      <c r="E18" s="107">
        <f>SUMIF(Org!$C$10:Org!$D$532,412700,Org!G$10:Org!G$533)</f>
        <v>378100</v>
      </c>
      <c r="F18" s="251">
        <f t="shared" si="0"/>
        <v>101.15034777956127</v>
      </c>
      <c r="G18" s="252">
        <f t="shared" si="1"/>
        <v>2.572187583973659</v>
      </c>
      <c r="I18" s="1"/>
      <c r="J18" s="1"/>
      <c r="K18" s="1"/>
      <c r="L18" s="1"/>
    </row>
    <row r="19" spans="1:12" ht="15" customHeight="1">
      <c r="A19" s="175">
        <v>412800</v>
      </c>
      <c r="B19" s="136" t="s">
        <v>142</v>
      </c>
      <c r="C19" s="107">
        <f>SUMIF(Org!$C$10:Org!$D$532,412800,Org!E$10:Org!E$533)</f>
        <v>603000</v>
      </c>
      <c r="D19" s="107">
        <f>SUMIF(Org!$C$10:Org!$D$532,412800,Org!F$10:Org!F$533)</f>
        <v>684350</v>
      </c>
      <c r="E19" s="107">
        <f>SUMIF(Org!$C$10:Org!$D$532,412800,Org!G$10:Org!G$533)</f>
        <v>663000</v>
      </c>
      <c r="F19" s="251">
        <f t="shared" si="0"/>
        <v>109.95024875621891</v>
      </c>
      <c r="G19" s="252">
        <f t="shared" si="1"/>
        <v>4.510342153331225</v>
      </c>
      <c r="I19" s="1"/>
      <c r="J19" s="1"/>
      <c r="K19" s="1"/>
      <c r="L19" s="1"/>
    </row>
    <row r="20" spans="1:12" ht="12.75" customHeight="1">
      <c r="A20" s="175">
        <v>412900</v>
      </c>
      <c r="B20" s="137" t="s">
        <v>386</v>
      </c>
      <c r="C20" s="107">
        <f>SUMIF(Org!$C$10:Org!$D$532,412900,Org!E$10:Org!E$533)</f>
        <v>540300</v>
      </c>
      <c r="D20" s="107">
        <f>SUMIF(Org!$C$10:Org!$D$532,412900,Org!F$10:Org!F$533)</f>
        <v>558016</v>
      </c>
      <c r="E20" s="107">
        <f>SUMIF(Org!$C$10:Org!$D$532,412900,Org!G$10:Org!G$533)</f>
        <v>664000</v>
      </c>
      <c r="F20" s="251">
        <f t="shared" si="0"/>
        <v>122.89468813622062</v>
      </c>
      <c r="G20" s="252">
        <f t="shared" si="1"/>
        <v>4.517145082672599</v>
      </c>
      <c r="I20" s="1"/>
      <c r="J20" s="1"/>
      <c r="K20" s="1"/>
      <c r="L20" s="1"/>
    </row>
    <row r="21" spans="1:12" ht="15.75" customHeight="1">
      <c r="A21" s="173">
        <v>413000</v>
      </c>
      <c r="B21" s="103" t="s">
        <v>144</v>
      </c>
      <c r="C21" s="108">
        <f>SUM(C22:C24)</f>
        <v>245500</v>
      </c>
      <c r="D21" s="108">
        <f>SUM(D22:D24)</f>
        <v>233700</v>
      </c>
      <c r="E21" s="108">
        <f>SUM(E22:E24)</f>
        <v>215000</v>
      </c>
      <c r="F21" s="434">
        <f t="shared" si="0"/>
        <v>87.57637474541752</v>
      </c>
      <c r="G21" s="323">
        <f t="shared" si="1"/>
        <v>1.4626298083954952</v>
      </c>
      <c r="H21" s="1"/>
      <c r="I21" s="1"/>
      <c r="J21" s="1"/>
      <c r="K21" s="1"/>
      <c r="L21" s="1"/>
    </row>
    <row r="22" spans="1:12" ht="16.5" customHeight="1">
      <c r="A22" s="172">
        <v>413300</v>
      </c>
      <c r="B22" s="100" t="s">
        <v>145</v>
      </c>
      <c r="C22" s="109">
        <f>SUMIF(Org!$C$10:Org!$D$532,413300,Org!E$10:Org!E$533)</f>
        <v>235500</v>
      </c>
      <c r="D22" s="109">
        <f>SUMIF(Org!$C$10:Org!$D$532,413300,Org!F$10:Org!F$533)</f>
        <v>222500</v>
      </c>
      <c r="E22" s="109">
        <f>SUMIF(Org!$C$10:Org!$D$532,413300,Org!G$10:Org!G$533)</f>
        <v>215000</v>
      </c>
      <c r="F22" s="251">
        <f t="shared" si="0"/>
        <v>91.29511677282377</v>
      </c>
      <c r="G22" s="252">
        <f t="shared" si="1"/>
        <v>1.4626298083954952</v>
      </c>
      <c r="I22" s="1"/>
      <c r="J22" s="1"/>
      <c r="K22" s="1"/>
      <c r="L22" s="1"/>
    </row>
    <row r="23" spans="1:12" ht="15" customHeight="1" hidden="1">
      <c r="A23" s="172">
        <v>413400</v>
      </c>
      <c r="B23" s="100" t="s">
        <v>146</v>
      </c>
      <c r="C23" s="109">
        <f>SUMIF(Org!$C$10:Org!$D$532,413400,Org!E$10:Org!E$533)</f>
        <v>0</v>
      </c>
      <c r="D23" s="109">
        <f>SUMIF(Org!$C$10:Org!$D$532,413400,Org!F$10:Org!F$533)</f>
        <v>0</v>
      </c>
      <c r="E23" s="109">
        <f>SUMIF(Org!$C$10:Org!$D$532,413400,Org!G$10:Org!G$533)</f>
        <v>0</v>
      </c>
      <c r="F23" s="251" t="e">
        <f t="shared" si="0"/>
        <v>#DIV/0!</v>
      </c>
      <c r="G23" s="252">
        <f t="shared" si="1"/>
        <v>0</v>
      </c>
      <c r="I23" s="1"/>
      <c r="J23" s="1"/>
      <c r="K23" s="1"/>
      <c r="L23" s="1"/>
    </row>
    <row r="24" spans="1:12" ht="13.5" customHeight="1">
      <c r="A24" s="172">
        <v>413700</v>
      </c>
      <c r="B24" s="100" t="s">
        <v>147</v>
      </c>
      <c r="C24" s="109">
        <f>SUMIF(Org!$C$10:Org!$D$532,413700,Org!E$10:Org!E$533)</f>
        <v>10000</v>
      </c>
      <c r="D24" s="109">
        <f>SUMIF(Org!$C$10:Org!$D$532,413700,Org!F$10:Org!F$533)</f>
        <v>11200</v>
      </c>
      <c r="E24" s="109">
        <f>SUMIF(Org!$C$10:Org!$D$532,413700,Org!G$10:Org!G$533)</f>
        <v>0</v>
      </c>
      <c r="F24" s="251">
        <f t="shared" si="0"/>
        <v>0</v>
      </c>
      <c r="G24" s="368">
        <f t="shared" si="1"/>
        <v>0</v>
      </c>
      <c r="I24" s="1"/>
      <c r="J24" s="1"/>
      <c r="K24" s="1"/>
      <c r="L24" s="1"/>
    </row>
    <row r="25" spans="1:12" ht="15.75" customHeight="1">
      <c r="A25" s="173">
        <v>414000</v>
      </c>
      <c r="B25" s="98" t="s">
        <v>189</v>
      </c>
      <c r="C25" s="106">
        <f>SUM(C26)</f>
        <v>475000</v>
      </c>
      <c r="D25" s="106">
        <f>SUM(D26)</f>
        <v>510220</v>
      </c>
      <c r="E25" s="106">
        <f>SUM(E26)</f>
        <v>614700</v>
      </c>
      <c r="F25" s="434">
        <f t="shared" si="0"/>
        <v>129.41052631578947</v>
      </c>
      <c r="G25" s="222">
        <f t="shared" si="1"/>
        <v>4.181760666142841</v>
      </c>
      <c r="H25" s="1"/>
      <c r="I25" s="1"/>
      <c r="J25" s="1"/>
      <c r="K25" s="1"/>
      <c r="L25" s="1"/>
    </row>
    <row r="26" spans="1:12" ht="15" customHeight="1">
      <c r="A26" s="172">
        <v>414100</v>
      </c>
      <c r="B26" s="100" t="s">
        <v>189</v>
      </c>
      <c r="C26" s="109">
        <f>SUMIF(Org!$C$10:Org!$D$532,414100,Org!E$10:Org!E$533)</f>
        <v>475000</v>
      </c>
      <c r="D26" s="109">
        <f>SUMIF(Org!$C$10:Org!$D$532,414100,Org!F$10:Org!F$533)</f>
        <v>510220</v>
      </c>
      <c r="E26" s="109">
        <f>SUMIF(Org!$C$10:Org!$D$532,414100,Org!G$10:Org!G$533)</f>
        <v>614700</v>
      </c>
      <c r="F26" s="251">
        <f t="shared" si="0"/>
        <v>129.41052631578947</v>
      </c>
      <c r="G26" s="252">
        <f t="shared" si="1"/>
        <v>4.181760666142841</v>
      </c>
      <c r="I26" s="1"/>
      <c r="J26" s="1"/>
      <c r="K26" s="1"/>
      <c r="L26" s="1"/>
    </row>
    <row r="27" spans="1:12" ht="15.75" customHeight="1">
      <c r="A27" s="173">
        <v>415000</v>
      </c>
      <c r="B27" s="99" t="s">
        <v>148</v>
      </c>
      <c r="C27" s="106">
        <f>SUM(C28)</f>
        <v>1003800</v>
      </c>
      <c r="D27" s="106">
        <f>SUM(D28)</f>
        <v>1139311</v>
      </c>
      <c r="E27" s="106">
        <f>SUM(E28)</f>
        <v>1193600</v>
      </c>
      <c r="F27" s="434">
        <f t="shared" si="0"/>
        <v>118.90814903367203</v>
      </c>
      <c r="G27" s="222">
        <f t="shared" si="1"/>
        <v>8.119976461864479</v>
      </c>
      <c r="I27" s="1"/>
      <c r="J27" s="1"/>
      <c r="K27" s="1"/>
      <c r="L27" s="1"/>
    </row>
    <row r="28" spans="1:12" ht="15" customHeight="1">
      <c r="A28" s="175">
        <v>415200</v>
      </c>
      <c r="B28" s="102" t="s">
        <v>149</v>
      </c>
      <c r="C28" s="107">
        <f>SUMIF(Org!$C$10:Org!$D$532,415200,Org!E$10:Org!E$533)</f>
        <v>1003800</v>
      </c>
      <c r="D28" s="107">
        <f>SUMIF(Org!$C$10:Org!$D$532,415200,Org!F$10:Org!F$533)</f>
        <v>1139311</v>
      </c>
      <c r="E28" s="107">
        <f>SUMIF(Org!$C$10:Org!$D$532,415200,Org!G$10:Org!G$533)</f>
        <v>1193600</v>
      </c>
      <c r="F28" s="251">
        <f t="shared" si="0"/>
        <v>118.90814903367203</v>
      </c>
      <c r="G28" s="252">
        <f t="shared" si="1"/>
        <v>8.119976461864479</v>
      </c>
      <c r="H28" s="1"/>
      <c r="I28" s="1"/>
      <c r="J28" s="1"/>
      <c r="K28" s="1"/>
      <c r="L28" s="1"/>
    </row>
    <row r="29" spans="1:12" ht="26.25" customHeight="1">
      <c r="A29" s="173">
        <v>416000</v>
      </c>
      <c r="B29" s="98" t="s">
        <v>157</v>
      </c>
      <c r="C29" s="106">
        <f>SUM(C30:C31)</f>
        <v>2634000</v>
      </c>
      <c r="D29" s="106">
        <f>SUM(D30:D31)</f>
        <v>2868792</v>
      </c>
      <c r="E29" s="106">
        <f>SUM(E30:E31)</f>
        <v>2842000</v>
      </c>
      <c r="F29" s="434">
        <f t="shared" si="0"/>
        <v>107.89673500379651</v>
      </c>
      <c r="G29" s="222">
        <f t="shared" si="1"/>
        <v>19.333925188186033</v>
      </c>
      <c r="H29" s="1"/>
      <c r="I29" s="1"/>
      <c r="J29" s="1"/>
      <c r="K29" s="1"/>
      <c r="L29" s="1"/>
    </row>
    <row r="30" spans="1:7" ht="18" customHeight="1">
      <c r="A30" s="172">
        <v>416100</v>
      </c>
      <c r="B30" s="100" t="s">
        <v>150</v>
      </c>
      <c r="C30" s="107">
        <f>SUMIF(Org!$C$10:Org!$D$532,416100,Org!E$10:Org!E$533)</f>
        <v>2234000</v>
      </c>
      <c r="D30" s="107">
        <f>SUMIF(Org!$C$10:Org!$D$532,416100,Org!F$10:Org!F$533)</f>
        <v>2468792</v>
      </c>
      <c r="E30" s="107">
        <f>SUMIF(Org!$C$10:Org!$D$532,416100,Org!G$10:Org!G$533)</f>
        <v>2469000</v>
      </c>
      <c r="F30" s="251">
        <f t="shared" si="0"/>
        <v>110.51924798567592</v>
      </c>
      <c r="G30" s="252">
        <f t="shared" si="1"/>
        <v>16.796432543853385</v>
      </c>
    </row>
    <row r="31" spans="1:7" ht="27" customHeight="1">
      <c r="A31" s="172">
        <v>416300</v>
      </c>
      <c r="B31" s="100" t="s">
        <v>151</v>
      </c>
      <c r="C31" s="107">
        <f>SUMIF(Org!$C$10:Org!$D$532,416300,Org!E$10:Org!E$533)</f>
        <v>400000</v>
      </c>
      <c r="D31" s="107">
        <f>SUMIF(Org!$C$10:Org!$D$532,416300,Org!F$10:Org!F$533)</f>
        <v>400000</v>
      </c>
      <c r="E31" s="107">
        <f>SUMIF(Org!$C$10:Org!$D$532,416300,Org!G$10:Org!G$533)</f>
        <v>373000</v>
      </c>
      <c r="F31" s="251">
        <f t="shared" si="0"/>
        <v>93.25</v>
      </c>
      <c r="G31" s="252">
        <f t="shared" si="1"/>
        <v>2.5374926443326498</v>
      </c>
    </row>
    <row r="32" spans="1:7" ht="27" customHeight="1">
      <c r="A32" s="173">
        <v>418000</v>
      </c>
      <c r="B32" s="98" t="s">
        <v>496</v>
      </c>
      <c r="C32" s="106">
        <f>SUM(C33:C34)</f>
        <v>54000</v>
      </c>
      <c r="D32" s="106">
        <f>SUM(D33:D34)</f>
        <v>39055</v>
      </c>
      <c r="E32" s="106">
        <f>SUM(E33:E34)</f>
        <v>37000</v>
      </c>
      <c r="F32" s="434">
        <f t="shared" si="0"/>
        <v>68.51851851851852</v>
      </c>
      <c r="G32" s="222">
        <f t="shared" si="1"/>
        <v>0.2517083856308526</v>
      </c>
    </row>
    <row r="33" spans="1:7" ht="18" customHeight="1">
      <c r="A33" s="172">
        <v>418100</v>
      </c>
      <c r="B33" s="244" t="s">
        <v>470</v>
      </c>
      <c r="C33" s="107">
        <f>SUMIF(Org!$C$10:Org!$D$532,418100,Org!E$10:Org!E$533)</f>
        <v>4000</v>
      </c>
      <c r="D33" s="107">
        <f>SUMIF(Org!$C$10:Org!$D$532,418100,Org!F$10:Org!F$533)</f>
        <v>4000</v>
      </c>
      <c r="E33" s="107">
        <f>SUMIF(Org!$C$10:Org!$D$532,418100,Org!G$10:Org!G$533)</f>
        <v>4000</v>
      </c>
      <c r="F33" s="251">
        <f t="shared" si="0"/>
        <v>100</v>
      </c>
      <c r="G33" s="252">
        <f t="shared" si="1"/>
        <v>0.02721171736549758</v>
      </c>
    </row>
    <row r="34" spans="1:7" ht="18" customHeight="1">
      <c r="A34" s="172">
        <v>418200</v>
      </c>
      <c r="B34" s="244" t="s">
        <v>497</v>
      </c>
      <c r="C34" s="107">
        <f>SUMIF(Org!$C$10:Org!$D$532,418200,Org!E$10:Org!E$533)</f>
        <v>50000</v>
      </c>
      <c r="D34" s="107">
        <f>SUMIF(Org!$C$10:Org!$D$532,418200,Org!F$10:Org!F$533)</f>
        <v>35055</v>
      </c>
      <c r="E34" s="107">
        <f>SUMIF(Org!$C$10:Org!$D$532,418200,Org!G$10:Org!G$533)</f>
        <v>33000</v>
      </c>
      <c r="F34" s="251">
        <f t="shared" si="0"/>
        <v>66</v>
      </c>
      <c r="G34" s="252">
        <f t="shared" si="1"/>
        <v>0.22449666826535505</v>
      </c>
    </row>
    <row r="35" spans="1:7" ht="16.5" customHeight="1">
      <c r="A35" s="173">
        <v>419000</v>
      </c>
      <c r="B35" s="98" t="s">
        <v>368</v>
      </c>
      <c r="C35" s="106">
        <f>SUM(C36)</f>
        <v>152500</v>
      </c>
      <c r="D35" s="106">
        <f>SUM(D36)</f>
        <v>218500</v>
      </c>
      <c r="E35" s="106">
        <f>SUM(E36)</f>
        <v>171000</v>
      </c>
      <c r="F35" s="434">
        <f t="shared" si="0"/>
        <v>112.1311475409836</v>
      </c>
      <c r="G35" s="222">
        <f t="shared" si="1"/>
        <v>1.1633009173750217</v>
      </c>
    </row>
    <row r="36" spans="1:8" ht="17.25" customHeight="1">
      <c r="A36" s="172">
        <v>419100</v>
      </c>
      <c r="B36" s="244" t="s">
        <v>368</v>
      </c>
      <c r="C36" s="107">
        <f>SUMIF(Org!$C$10:Org!$D$532,419100,Org!E$10:Org!E$533)</f>
        <v>152500</v>
      </c>
      <c r="D36" s="107">
        <f>SUMIF(Org!$C$10:Org!$D$532,419100,Org!F$10:Org!F$533)</f>
        <v>218500</v>
      </c>
      <c r="E36" s="107">
        <f>SUMIF(Org!$C$10:Org!$D$532,419100,Org!G$10:Org!G$533)</f>
        <v>171000</v>
      </c>
      <c r="F36" s="251">
        <f t="shared" si="0"/>
        <v>112.1311475409836</v>
      </c>
      <c r="G36" s="252">
        <f t="shared" si="1"/>
        <v>1.1633009173750217</v>
      </c>
      <c r="H36" s="1"/>
    </row>
    <row r="37" spans="1:8" ht="17.25" customHeight="1">
      <c r="A37" s="199">
        <v>480000</v>
      </c>
      <c r="B37" s="124" t="s">
        <v>388</v>
      </c>
      <c r="C37" s="169">
        <f>SUM(C38:C41)</f>
        <v>162200</v>
      </c>
      <c r="D37" s="169">
        <f>SUM(D38:D41)</f>
        <v>145910</v>
      </c>
      <c r="E37" s="169">
        <f>SUM(E38:E41)</f>
        <v>152300</v>
      </c>
      <c r="F37" s="169">
        <f t="shared" si="0"/>
        <v>93.8964241676942</v>
      </c>
      <c r="G37" s="322">
        <f t="shared" si="1"/>
        <v>1.0360861386913205</v>
      </c>
      <c r="H37" s="1"/>
    </row>
    <row r="38" spans="1:7" ht="17.25" customHeight="1">
      <c r="A38" s="269">
        <v>487200</v>
      </c>
      <c r="B38" s="270" t="s">
        <v>418</v>
      </c>
      <c r="C38" s="107">
        <f>SUMIF(Org!$C$10:Org!$D$532,487200,Org!E$10:Org!E$533)</f>
        <v>7000</v>
      </c>
      <c r="D38" s="107">
        <f>SUMIF(Org!$C$10:Org!$D$532,487200,Org!F$10:Org!F$533)</f>
        <v>7000</v>
      </c>
      <c r="E38" s="107">
        <f>SUMIF(Org!$C$10:Org!$D$532,487200,Org!G$10:Org!G$533)</f>
        <v>6000</v>
      </c>
      <c r="F38" s="251">
        <f t="shared" si="0"/>
        <v>85.71428571428571</v>
      </c>
      <c r="G38" s="252">
        <f t="shared" si="1"/>
        <v>0.04081757604824638</v>
      </c>
    </row>
    <row r="39" spans="1:7" ht="17.25" customHeight="1">
      <c r="A39" s="269">
        <v>487300</v>
      </c>
      <c r="B39" s="270" t="s">
        <v>414</v>
      </c>
      <c r="C39" s="107">
        <f>SUMIF(Org!$C$10:Org!$D$532,487300,Org!E$10:Org!E$533)</f>
        <v>1000</v>
      </c>
      <c r="D39" s="107">
        <f>SUMIF(Org!$C$10:Org!$D$532,487300,Org!F$10:Org!F$533)</f>
        <v>1000</v>
      </c>
      <c r="E39" s="107">
        <f>SUMIF(Org!$C$10:Org!$D$532,487300,Org!G$10:Org!G$533)</f>
        <v>1000</v>
      </c>
      <c r="F39" s="251">
        <f t="shared" si="0"/>
        <v>100</v>
      </c>
      <c r="G39" s="252">
        <f t="shared" si="1"/>
        <v>0.006802929341374395</v>
      </c>
    </row>
    <row r="40" spans="1:7" ht="17.25" customHeight="1">
      <c r="A40" s="172">
        <v>487400</v>
      </c>
      <c r="B40" s="244" t="s">
        <v>387</v>
      </c>
      <c r="C40" s="107">
        <f>SUMIF(Org!$C$10:Org!$D$532,487400,Org!E$10:Org!E$533)</f>
        <v>133000</v>
      </c>
      <c r="D40" s="107">
        <f>SUMIF(Org!$C$10:Org!$D$532,487400,Org!F$10:Org!F$533)</f>
        <v>114000</v>
      </c>
      <c r="E40" s="107">
        <f>SUMIF(Org!$C$10:Org!$D$532,487400,Org!G$10:Org!G$533)</f>
        <v>124000</v>
      </c>
      <c r="F40" s="251">
        <f t="shared" si="0"/>
        <v>93.23308270676691</v>
      </c>
      <c r="G40" s="252">
        <f t="shared" si="1"/>
        <v>0.8435632383304251</v>
      </c>
    </row>
    <row r="41" spans="1:7" ht="17.25" customHeight="1">
      <c r="A41" s="172">
        <v>487900</v>
      </c>
      <c r="B41" s="244" t="s">
        <v>400</v>
      </c>
      <c r="C41" s="107">
        <f>SUMIF(Org!$C$10:Org!$D$532,487900,Org!E$10:Org!E$533)</f>
        <v>21200</v>
      </c>
      <c r="D41" s="107">
        <f>SUMIF(Org!$C$10:Org!$D$532,487900,Org!F$10:Org!F$533)</f>
        <v>23910</v>
      </c>
      <c r="E41" s="107">
        <f>SUMIF(Org!$C$10:Org!$D$532,487900,Org!G$10:Org!G$533)</f>
        <v>21300</v>
      </c>
      <c r="F41" s="251">
        <f t="shared" si="0"/>
        <v>100.47169811320755</v>
      </c>
      <c r="G41" s="252">
        <f t="shared" si="1"/>
        <v>0.14490239497127463</v>
      </c>
    </row>
    <row r="42" spans="1:8" ht="21.75" customHeight="1">
      <c r="A42" s="199" t="s">
        <v>209</v>
      </c>
      <c r="B42" s="245" t="s">
        <v>370</v>
      </c>
      <c r="C42" s="169">
        <f>Org!E533</f>
        <v>180000</v>
      </c>
      <c r="D42" s="169">
        <f>Org!F533</f>
        <v>10000</v>
      </c>
      <c r="E42" s="169">
        <f>Org!G533</f>
        <v>180000</v>
      </c>
      <c r="F42" s="169">
        <f t="shared" si="0"/>
        <v>100</v>
      </c>
      <c r="G42" s="322">
        <f t="shared" si="1"/>
        <v>1.224527281447391</v>
      </c>
      <c r="H42" s="1"/>
    </row>
    <row r="43" spans="1:8" ht="17.25" customHeight="1">
      <c r="A43" s="176">
        <v>510000</v>
      </c>
      <c r="B43" s="200" t="s">
        <v>396</v>
      </c>
      <c r="C43" s="144">
        <f>C44+C49+C51</f>
        <v>1814000</v>
      </c>
      <c r="D43" s="144">
        <f>D44+D49+D51</f>
        <v>1998080</v>
      </c>
      <c r="E43" s="144">
        <f>E44+E49+E51</f>
        <v>2062000</v>
      </c>
      <c r="F43" s="144">
        <f t="shared" si="0"/>
        <v>113.67144432194047</v>
      </c>
      <c r="G43" s="143">
        <f t="shared" si="1"/>
        <v>14.027640301914005</v>
      </c>
      <c r="H43" s="1"/>
    </row>
    <row r="44" spans="1:7" ht="15.75" customHeight="1">
      <c r="A44" s="173">
        <v>511000</v>
      </c>
      <c r="B44" s="104" t="s">
        <v>152</v>
      </c>
      <c r="C44" s="106">
        <f>SUM(C45:C48)</f>
        <v>1687500</v>
      </c>
      <c r="D44" s="106">
        <f>SUM(D45:D48)</f>
        <v>1950896</v>
      </c>
      <c r="E44" s="106">
        <f>SUM(E45:E48)</f>
        <v>1973000</v>
      </c>
      <c r="F44" s="434">
        <f t="shared" si="0"/>
        <v>116.91851851851851</v>
      </c>
      <c r="G44" s="222">
        <f t="shared" si="1"/>
        <v>13.422179590531682</v>
      </c>
    </row>
    <row r="45" spans="1:8" ht="12.75" customHeight="1">
      <c r="A45" s="175">
        <v>511100</v>
      </c>
      <c r="B45" s="246" t="s">
        <v>153</v>
      </c>
      <c r="C45" s="109">
        <f>SUMIF(Org!$C$10:Org!$D$532,511100,Org!E$10:Org!E$532)</f>
        <v>500000</v>
      </c>
      <c r="D45" s="109">
        <f>SUMIF(Org!$C$10:Org!$D$532,511100,Org!F$10:Org!F$532)</f>
        <v>500000</v>
      </c>
      <c r="E45" s="109">
        <f>SUMIF(Org!$C$10:Org!$D$532,511100,Org!G$10:Org!G$532)</f>
        <v>80000</v>
      </c>
      <c r="F45" s="251">
        <f t="shared" si="0"/>
        <v>16</v>
      </c>
      <c r="G45" s="252">
        <f t="shared" si="1"/>
        <v>0.5442343473099517</v>
      </c>
      <c r="H45" s="1"/>
    </row>
    <row r="46" spans="1:7" ht="27" customHeight="1">
      <c r="A46" s="172">
        <v>511200</v>
      </c>
      <c r="B46" s="105" t="s">
        <v>154</v>
      </c>
      <c r="C46" s="109">
        <f>SUMIF(Org!$C$10:Org!$D$532,511200,Org!E$10:Org!$G$532)</f>
        <v>1051000</v>
      </c>
      <c r="D46" s="109">
        <f>SUMIF(Org!$C$10:Org!$D$532,511200,Org!F$10:Org!$G$532)</f>
        <v>1320460</v>
      </c>
      <c r="E46" s="109">
        <f>SUMIF(Org!$C$10:Org!$D$532,511200,Org!G$10:Org!$G$532)</f>
        <v>1640000</v>
      </c>
      <c r="F46" s="251">
        <f t="shared" si="0"/>
        <v>156.0418648905804</v>
      </c>
      <c r="G46" s="252">
        <f t="shared" si="1"/>
        <v>11.156804119854009</v>
      </c>
    </row>
    <row r="47" spans="1:7" ht="12.75" customHeight="1">
      <c r="A47" s="172">
        <v>511300</v>
      </c>
      <c r="B47" s="247" t="s">
        <v>155</v>
      </c>
      <c r="C47" s="109">
        <f>SUMIF(Org!$C$10:Org!$D$532,511300,Org!E$10:Org!E$532)</f>
        <v>126500</v>
      </c>
      <c r="D47" s="109">
        <f>SUMIF(Org!$C$10:Org!$D$532,511300,Org!F$10:Org!F$532)</f>
        <v>130436</v>
      </c>
      <c r="E47" s="109">
        <f>SUMIF(Org!$C$10:Org!$D$532,511300,Org!G$10:Org!G$532)</f>
        <v>248000</v>
      </c>
      <c r="F47" s="251">
        <f t="shared" si="0"/>
        <v>196.04743083003953</v>
      </c>
      <c r="G47" s="252">
        <f t="shared" si="1"/>
        <v>1.6871264766608502</v>
      </c>
    </row>
    <row r="48" spans="1:7" ht="12.75" customHeight="1">
      <c r="A48" s="172">
        <v>511400</v>
      </c>
      <c r="B48" s="247" t="s">
        <v>253</v>
      </c>
      <c r="C48" s="109">
        <f>SUMIF(Org!$C$10:Org!$D$532,511400,Org!E$10:Org!E$532)</f>
        <v>10000</v>
      </c>
      <c r="D48" s="109">
        <f>SUMIF(Org!$C$10:Org!$D$532,511400,Org!F$10:Org!F$532)</f>
        <v>0</v>
      </c>
      <c r="E48" s="109">
        <f>SUMIF(Org!$C$10:Org!$D$532,511400,Org!G$10:Org!G$532)</f>
        <v>5000</v>
      </c>
      <c r="F48" s="251">
        <f t="shared" si="0"/>
        <v>50</v>
      </c>
      <c r="G48" s="252">
        <f t="shared" si="1"/>
        <v>0.03401464670687198</v>
      </c>
    </row>
    <row r="49" spans="1:8" ht="15.75" customHeight="1">
      <c r="A49" s="248">
        <v>513000</v>
      </c>
      <c r="B49" s="104" t="s">
        <v>179</v>
      </c>
      <c r="C49" s="106">
        <f>SUM(C50)</f>
        <v>110000</v>
      </c>
      <c r="D49" s="106">
        <f>SUM(D50)</f>
        <v>30650</v>
      </c>
      <c r="E49" s="106">
        <f>SUM(E50)</f>
        <v>70000</v>
      </c>
      <c r="F49" s="434">
        <f t="shared" si="0"/>
        <v>63.63636363636363</v>
      </c>
      <c r="G49" s="222">
        <f t="shared" si="1"/>
        <v>0.47620505389620765</v>
      </c>
      <c r="H49" s="1"/>
    </row>
    <row r="50" spans="1:7" ht="12.75" customHeight="1">
      <c r="A50" s="172">
        <v>513100</v>
      </c>
      <c r="B50" s="247" t="s">
        <v>180</v>
      </c>
      <c r="C50" s="109">
        <f>SUMIF(Org!$C$10:Org!$D$532,513100,Org!E$10:Org!E$532)</f>
        <v>110000</v>
      </c>
      <c r="D50" s="109">
        <f>SUMIF(Org!$C$10:Org!$D$532,513100,Org!F$10:Org!F$532)</f>
        <v>30650</v>
      </c>
      <c r="E50" s="109">
        <f>SUMIF(Org!$C$10:Org!$D$532,513100,Org!G$10:Org!G$532)</f>
        <v>70000</v>
      </c>
      <c r="F50" s="251">
        <f t="shared" si="0"/>
        <v>63.63636363636363</v>
      </c>
      <c r="G50" s="252">
        <f t="shared" si="1"/>
        <v>0.47620505389620765</v>
      </c>
    </row>
    <row r="51" spans="1:8" ht="28.5" customHeight="1">
      <c r="A51" s="248">
        <v>516000</v>
      </c>
      <c r="B51" s="249" t="s">
        <v>322</v>
      </c>
      <c r="C51" s="106">
        <f>SUM(C52)</f>
        <v>16500</v>
      </c>
      <c r="D51" s="106">
        <f>SUM(D52)</f>
        <v>16534</v>
      </c>
      <c r="E51" s="106">
        <f>SUM(E52)</f>
        <v>19000</v>
      </c>
      <c r="F51" s="434">
        <f t="shared" si="0"/>
        <v>115.15151515151516</v>
      </c>
      <c r="G51" s="222">
        <f t="shared" si="1"/>
        <v>0.12925565748611353</v>
      </c>
      <c r="H51" s="1"/>
    </row>
    <row r="52" spans="1:7" ht="24.75" customHeight="1">
      <c r="A52" s="172">
        <v>516100</v>
      </c>
      <c r="B52" s="105" t="s">
        <v>322</v>
      </c>
      <c r="C52" s="109">
        <f>SUMIF(Org!$C$10:Org!$D$532,516100,Org!E$10:Org!E$532)</f>
        <v>16500</v>
      </c>
      <c r="D52" s="109">
        <f>SUMIF(Org!$C$10:Org!$D$532,516100,Org!F$10:Org!F$532)</f>
        <v>16534</v>
      </c>
      <c r="E52" s="109">
        <f>SUMIF(Org!$C$10:Org!$D$532,516100,Org!G$10:Org!G$532)</f>
        <v>19000</v>
      </c>
      <c r="F52" s="251">
        <f t="shared" si="0"/>
        <v>115.15151515151516</v>
      </c>
      <c r="G52" s="252">
        <f t="shared" si="1"/>
        <v>0.12925565748611353</v>
      </c>
    </row>
    <row r="53" spans="1:8" ht="31.5" customHeight="1" thickBot="1">
      <c r="A53" s="185"/>
      <c r="B53" s="160" t="s">
        <v>302</v>
      </c>
      <c r="C53" s="250">
        <f>C4+C43</f>
        <v>13374000</v>
      </c>
      <c r="D53" s="250">
        <f>D4+D43</f>
        <v>14062750</v>
      </c>
      <c r="E53" s="250">
        <f>E4+E43</f>
        <v>14699550</v>
      </c>
      <c r="F53" s="250">
        <f t="shared" si="0"/>
        <v>109.91139524450426</v>
      </c>
      <c r="G53" s="145">
        <f t="shared" si="1"/>
        <v>100</v>
      </c>
      <c r="H53" s="1"/>
    </row>
    <row r="54" spans="1:8" ht="31.5" customHeight="1" thickTop="1">
      <c r="A54" s="46"/>
      <c r="B54" s="324"/>
      <c r="C54" s="280"/>
      <c r="D54" s="280"/>
      <c r="E54" s="280"/>
      <c r="F54" s="280"/>
      <c r="G54" s="325"/>
      <c r="H54" s="1"/>
    </row>
    <row r="55" spans="1:7" ht="15" customHeight="1">
      <c r="A55" s="11"/>
      <c r="B55" s="390"/>
      <c r="C55" s="12"/>
      <c r="D55" s="12"/>
      <c r="E55" s="12"/>
      <c r="F55" s="12"/>
      <c r="G55" s="11"/>
    </row>
    <row r="56" spans="1:8" ht="12.75" customHeight="1">
      <c r="A56" s="11"/>
      <c r="B56" s="390"/>
      <c r="C56" s="12"/>
      <c r="D56" s="12"/>
      <c r="E56" s="12"/>
      <c r="F56" s="12"/>
      <c r="G56" s="11"/>
      <c r="H56" s="1"/>
    </row>
    <row r="57" spans="2:8" ht="12.75" customHeight="1">
      <c r="B57" s="391"/>
      <c r="C57" s="52"/>
      <c r="D57" s="52"/>
      <c r="E57" s="52"/>
      <c r="F57" s="12"/>
      <c r="H57" s="1"/>
    </row>
    <row r="58" spans="2:6" ht="12.75" customHeight="1">
      <c r="B58" s="177"/>
      <c r="C58" s="192"/>
      <c r="D58" s="192"/>
      <c r="E58" s="192"/>
      <c r="F58" s="192"/>
    </row>
    <row r="59" spans="3:6" ht="12.75" customHeight="1">
      <c r="C59" s="192"/>
      <c r="D59" s="192"/>
      <c r="E59" s="192"/>
      <c r="F59" s="192"/>
    </row>
    <row r="61" spans="3:6" ht="12.75" customHeight="1">
      <c r="C61" s="1"/>
      <c r="D61" s="1"/>
      <c r="E61" s="1"/>
      <c r="F61" s="1"/>
    </row>
    <row r="62" spans="3:5" ht="12.75" customHeight="1">
      <c r="C62" s="1"/>
      <c r="D62" s="1"/>
      <c r="E62" s="1"/>
    </row>
  </sheetData>
  <sheetProtection/>
  <mergeCells count="1">
    <mergeCell ref="A1:G1"/>
  </mergeCells>
  <printOptions horizontalCentered="1"/>
  <pageMargins left="0.15748031496062992" right="0.15748031496062992" top="0.5118110236220472" bottom="0.5118110236220472" header="0.3937007874015748" footer="0.1968503937007874"/>
  <pageSetup horizontalDpi="600" verticalDpi="600" orientation="landscape" paperSize="9" r:id="rId1"/>
  <headerFooter alignWithMargins="0">
    <oddFooter>&amp;R&amp;P</oddFooter>
  </headerFooter>
  <rowBreaks count="2" manualBreakCount="2">
    <brk id="28" max="6" man="1"/>
    <brk id="5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45"/>
  <sheetViews>
    <sheetView zoomScale="90" zoomScaleNormal="90" zoomScalePageLayoutView="0" workbookViewId="0" topLeftCell="A1">
      <selection activeCell="B2" sqref="B2:B3"/>
    </sheetView>
  </sheetViews>
  <sheetFormatPr defaultColWidth="9.140625" defaultRowHeight="12.75"/>
  <cols>
    <col min="1" max="1" width="12.8515625" style="0" customWidth="1"/>
    <col min="2" max="2" width="67.28125" style="0" customWidth="1"/>
    <col min="3" max="3" width="19.140625" style="0" customWidth="1"/>
    <col min="4" max="4" width="19.7109375" style="0" customWidth="1"/>
    <col min="5" max="5" width="18.8515625" style="0" customWidth="1"/>
    <col min="6" max="6" width="8.8515625" style="0" customWidth="1"/>
  </cols>
  <sheetData>
    <row r="1" spans="1:5" ht="39.75" customHeight="1" thickBot="1">
      <c r="A1" s="520" t="s">
        <v>530</v>
      </c>
      <c r="B1" s="520"/>
      <c r="C1" s="520"/>
      <c r="D1" s="520"/>
      <c r="E1" s="520"/>
    </row>
    <row r="2" spans="1:5" ht="18.75" customHeight="1" thickTop="1">
      <c r="A2" s="538" t="s">
        <v>59</v>
      </c>
      <c r="B2" s="540" t="s">
        <v>222</v>
      </c>
      <c r="C2" s="536" t="s">
        <v>489</v>
      </c>
      <c r="D2" s="536" t="s">
        <v>536</v>
      </c>
      <c r="E2" s="525" t="s">
        <v>537</v>
      </c>
    </row>
    <row r="3" spans="1:5" ht="34.5" customHeight="1">
      <c r="A3" s="539"/>
      <c r="B3" s="541"/>
      <c r="C3" s="537"/>
      <c r="D3" s="537"/>
      <c r="E3" s="526"/>
    </row>
    <row r="4" spans="1:5" s="5" customFormat="1" ht="12.75" customHeight="1">
      <c r="A4" s="183">
        <v>1</v>
      </c>
      <c r="B4" s="93">
        <v>2</v>
      </c>
      <c r="C4" s="384">
        <v>3</v>
      </c>
      <c r="D4" s="384">
        <v>4</v>
      </c>
      <c r="E4" s="385">
        <v>5</v>
      </c>
    </row>
    <row r="5" spans="1:5" ht="12.75">
      <c r="A5" s="141"/>
      <c r="B5" s="158"/>
      <c r="C5" s="372"/>
      <c r="D5" s="372"/>
      <c r="E5" s="327"/>
    </row>
    <row r="6" spans="1:5" ht="21" customHeight="1">
      <c r="A6" s="328"/>
      <c r="B6" s="213" t="s">
        <v>298</v>
      </c>
      <c r="C6" s="373">
        <f>C7-C9</f>
        <v>0</v>
      </c>
      <c r="D6" s="454">
        <f>D7-D9</f>
        <v>0</v>
      </c>
      <c r="E6" s="440">
        <f>E7-E9</f>
        <v>0</v>
      </c>
    </row>
    <row r="7" spans="1:5" ht="16.5" customHeight="1">
      <c r="A7" s="329">
        <v>910000</v>
      </c>
      <c r="B7" s="214" t="s">
        <v>292</v>
      </c>
      <c r="C7" s="374">
        <f>SUM(C8)</f>
        <v>0</v>
      </c>
      <c r="D7" s="455">
        <f>SUM(D8)</f>
        <v>0</v>
      </c>
      <c r="E7" s="441">
        <f>SUM(E8)</f>
        <v>0</v>
      </c>
    </row>
    <row r="8" spans="1:5" ht="18" customHeight="1">
      <c r="A8" s="330">
        <v>911000</v>
      </c>
      <c r="B8" s="221" t="s">
        <v>293</v>
      </c>
      <c r="C8" s="375">
        <v>0</v>
      </c>
      <c r="D8" s="369">
        <v>0</v>
      </c>
      <c r="E8" s="442">
        <v>0</v>
      </c>
    </row>
    <row r="9" spans="1:5" ht="18" customHeight="1">
      <c r="A9" s="329">
        <v>610000</v>
      </c>
      <c r="B9" s="214" t="s">
        <v>294</v>
      </c>
      <c r="C9" s="374">
        <f>SUM(C10)</f>
        <v>0</v>
      </c>
      <c r="D9" s="455">
        <f>SUM(D10)</f>
        <v>0</v>
      </c>
      <c r="E9" s="441">
        <f>SUM(E10)</f>
        <v>0</v>
      </c>
    </row>
    <row r="10" spans="1:5" ht="17.25" customHeight="1">
      <c r="A10" s="330">
        <v>611000</v>
      </c>
      <c r="B10" s="221" t="s">
        <v>295</v>
      </c>
      <c r="C10" s="375">
        <v>0</v>
      </c>
      <c r="D10" s="369">
        <v>0</v>
      </c>
      <c r="E10" s="442">
        <v>0</v>
      </c>
    </row>
    <row r="11" spans="1:5" ht="15.75" customHeight="1">
      <c r="A11" s="330"/>
      <c r="B11" s="213" t="s">
        <v>319</v>
      </c>
      <c r="C11" s="373">
        <f>C12-C14</f>
        <v>-1582000</v>
      </c>
      <c r="D11" s="454">
        <f>D12-D14</f>
        <v>-1216469.22</v>
      </c>
      <c r="E11" s="440">
        <f>E12-E14</f>
        <v>-1036000</v>
      </c>
    </row>
    <row r="12" spans="1:5" ht="18" customHeight="1">
      <c r="A12" s="329">
        <v>920000</v>
      </c>
      <c r="B12" s="214" t="s">
        <v>299</v>
      </c>
      <c r="C12" s="374">
        <f>C13</f>
        <v>0</v>
      </c>
      <c r="D12" s="455">
        <f>D13</f>
        <v>320930.78</v>
      </c>
      <c r="E12" s="441">
        <f>E13</f>
        <v>0</v>
      </c>
    </row>
    <row r="13" spans="1:6" ht="17.25" customHeight="1">
      <c r="A13" s="330">
        <v>921200</v>
      </c>
      <c r="B13" s="216" t="s">
        <v>339</v>
      </c>
      <c r="C13" s="376">
        <v>0</v>
      </c>
      <c r="D13" s="215">
        <v>320930.78</v>
      </c>
      <c r="E13" s="443">
        <v>0</v>
      </c>
      <c r="F13" s="6"/>
    </row>
    <row r="14" spans="1:5" ht="17.25" customHeight="1">
      <c r="A14" s="329">
        <v>620000</v>
      </c>
      <c r="B14" s="214" t="s">
        <v>297</v>
      </c>
      <c r="C14" s="374">
        <f>C15+C18</f>
        <v>1582000</v>
      </c>
      <c r="D14" s="455">
        <f>D15+D18</f>
        <v>1537400</v>
      </c>
      <c r="E14" s="441">
        <f>E15+E18</f>
        <v>1036000</v>
      </c>
    </row>
    <row r="15" spans="1:5" ht="17.25" customHeight="1">
      <c r="A15" s="329">
        <v>621000</v>
      </c>
      <c r="B15" s="326" t="s">
        <v>156</v>
      </c>
      <c r="C15" s="377">
        <f>SUM(C16:C17)</f>
        <v>1405000</v>
      </c>
      <c r="D15" s="456">
        <f>SUM(D16:D17)</f>
        <v>1360400</v>
      </c>
      <c r="E15" s="444">
        <f>SUM(E16:E17)</f>
        <v>856000</v>
      </c>
    </row>
    <row r="16" spans="1:5" ht="16.5" customHeight="1">
      <c r="A16" s="331">
        <v>621300</v>
      </c>
      <c r="B16" s="105" t="s">
        <v>164</v>
      </c>
      <c r="C16" s="378">
        <f>SUMIF(Org!$C$10:$D$526,621300,Org!E$10:E$526)</f>
        <v>1380000</v>
      </c>
      <c r="D16" s="457">
        <f>SUMIF(Org!$C$10:$D$526,621300,Org!F$10:F$526)</f>
        <v>1335400</v>
      </c>
      <c r="E16" s="445">
        <f>SUMIF(Org!$C$10:$D$526,621300,Org!G$10:G$526)</f>
        <v>831000</v>
      </c>
    </row>
    <row r="17" spans="1:5" ht="15.75" customHeight="1">
      <c r="A17" s="331">
        <v>621900</v>
      </c>
      <c r="B17" s="105" t="s">
        <v>341</v>
      </c>
      <c r="C17" s="378">
        <f>SUMIF(Org!$C$10:$D$526,621900,Org!E$10:E$526)</f>
        <v>25000</v>
      </c>
      <c r="D17" s="457">
        <f>SUMIF(Org!$C$10:$D$526,621900,Org!F$10:F$526)</f>
        <v>25000</v>
      </c>
      <c r="E17" s="445">
        <f>SUMIF(Org!$C$10:$D$526,621900,Org!G$10:G$526)</f>
        <v>25000</v>
      </c>
    </row>
    <row r="18" spans="1:5" ht="24.75" customHeight="1">
      <c r="A18" s="332">
        <v>628000</v>
      </c>
      <c r="B18" s="365" t="s">
        <v>471</v>
      </c>
      <c r="C18" s="379">
        <f>SUM(C19)</f>
        <v>177000</v>
      </c>
      <c r="D18" s="458">
        <f>SUM(D19)</f>
        <v>177000</v>
      </c>
      <c r="E18" s="446">
        <f>SUM(E19)</f>
        <v>180000</v>
      </c>
    </row>
    <row r="19" spans="1:5" ht="15.75" customHeight="1">
      <c r="A19" s="331">
        <v>628100</v>
      </c>
      <c r="B19" s="105" t="s">
        <v>474</v>
      </c>
      <c r="C19" s="378">
        <f>SUMIF(Org!$C$10:$D$526,628100,Org!E$10:E$526)</f>
        <v>177000</v>
      </c>
      <c r="D19" s="457">
        <f>SUMIF(Org!$C$10:$D$526,628100,Org!F$10:F$526)</f>
        <v>177000</v>
      </c>
      <c r="E19" s="445">
        <f>SUMIF(Org!$C$10:$D$526,628100,Org!G$10:G$526)</f>
        <v>180000</v>
      </c>
    </row>
    <row r="20" spans="1:5" ht="20.25" customHeight="1">
      <c r="A20" s="331"/>
      <c r="B20" s="213" t="s">
        <v>390</v>
      </c>
      <c r="C20" s="373">
        <f>C21-C27</f>
        <v>-7000</v>
      </c>
      <c r="D20" s="454">
        <f>D21-D27</f>
        <v>-34190.42</v>
      </c>
      <c r="E20" s="440">
        <f>E21-E27</f>
        <v>-25450</v>
      </c>
    </row>
    <row r="21" spans="1:5" ht="15.75" customHeight="1">
      <c r="A21" s="329">
        <v>930000</v>
      </c>
      <c r="B21" s="214" t="s">
        <v>391</v>
      </c>
      <c r="C21" s="374">
        <f>C22+C24</f>
        <v>87000</v>
      </c>
      <c r="D21" s="455">
        <f>D22+D24</f>
        <v>105659.58</v>
      </c>
      <c r="E21" s="441">
        <f>E22+E24</f>
        <v>139000</v>
      </c>
    </row>
    <row r="22" spans="1:5" ht="15" customHeight="1">
      <c r="A22" s="329">
        <v>931000</v>
      </c>
      <c r="B22" s="326" t="s">
        <v>375</v>
      </c>
      <c r="C22" s="377">
        <f>SUM(C23)</f>
        <v>0</v>
      </c>
      <c r="D22" s="456">
        <f>SUM(D23)</f>
        <v>38347.75</v>
      </c>
      <c r="E22" s="444">
        <f>SUM(E23)</f>
        <v>0</v>
      </c>
    </row>
    <row r="23" spans="1:5" ht="16.5" customHeight="1">
      <c r="A23" s="174">
        <v>931100</v>
      </c>
      <c r="B23" s="270" t="s">
        <v>574</v>
      </c>
      <c r="C23" s="223">
        <v>0</v>
      </c>
      <c r="D23" s="251">
        <v>38347.75</v>
      </c>
      <c r="E23" s="447">
        <v>0</v>
      </c>
    </row>
    <row r="24" spans="1:5" ht="18.75" customHeight="1">
      <c r="A24" s="332">
        <v>938000</v>
      </c>
      <c r="B24" s="273" t="s">
        <v>426</v>
      </c>
      <c r="C24" s="380">
        <f>SUM(C25:C26)</f>
        <v>87000</v>
      </c>
      <c r="D24" s="433">
        <f>SUM(D25:D26)</f>
        <v>67311.83</v>
      </c>
      <c r="E24" s="448">
        <f>SUM(E25:E26)</f>
        <v>139000</v>
      </c>
    </row>
    <row r="25" spans="1:6" ht="28.5" customHeight="1">
      <c r="A25" s="331">
        <v>938100</v>
      </c>
      <c r="B25" s="281" t="s">
        <v>427</v>
      </c>
      <c r="C25" s="376">
        <v>87000</v>
      </c>
      <c r="D25" s="215">
        <v>67311.83</v>
      </c>
      <c r="E25" s="443">
        <v>139000</v>
      </c>
      <c r="F25" s="431"/>
    </row>
    <row r="26" spans="1:5" ht="27" customHeight="1">
      <c r="A26" s="331">
        <v>938100</v>
      </c>
      <c r="B26" s="281" t="s">
        <v>431</v>
      </c>
      <c r="C26" s="376">
        <v>0</v>
      </c>
      <c r="D26" s="215">
        <v>0</v>
      </c>
      <c r="E26" s="443">
        <v>0</v>
      </c>
    </row>
    <row r="27" spans="1:5" ht="15.75" customHeight="1">
      <c r="A27" s="329">
        <v>630000</v>
      </c>
      <c r="B27" s="214" t="s">
        <v>392</v>
      </c>
      <c r="C27" s="374">
        <f>C28+C31</f>
        <v>94000</v>
      </c>
      <c r="D27" s="455">
        <f>D28+D31</f>
        <v>139850</v>
      </c>
      <c r="E27" s="441">
        <f>E28+E31</f>
        <v>164450</v>
      </c>
    </row>
    <row r="28" spans="1:5" ht="15.75" customHeight="1">
      <c r="A28" s="329">
        <v>631000</v>
      </c>
      <c r="B28" s="273" t="s">
        <v>377</v>
      </c>
      <c r="C28" s="380">
        <f>SUM(C29:C30)</f>
        <v>4000</v>
      </c>
      <c r="D28" s="433">
        <f>SUM(D29:D30)</f>
        <v>17500</v>
      </c>
      <c r="E28" s="448">
        <f>SUM(E29:E30)</f>
        <v>5450</v>
      </c>
    </row>
    <row r="29" spans="1:5" ht="15.75" customHeight="1">
      <c r="A29" s="426">
        <v>631300</v>
      </c>
      <c r="B29" s="427" t="s">
        <v>518</v>
      </c>
      <c r="C29" s="428">
        <f>Org!E525</f>
        <v>0</v>
      </c>
      <c r="D29" s="369">
        <f>Org!F525</f>
        <v>12500</v>
      </c>
      <c r="E29" s="449">
        <f>Org!G525</f>
        <v>0</v>
      </c>
    </row>
    <row r="30" spans="1:5" ht="28.5" customHeight="1">
      <c r="A30" s="331">
        <v>631900</v>
      </c>
      <c r="B30" s="281" t="s">
        <v>430</v>
      </c>
      <c r="C30" s="381">
        <f>Org!E526</f>
        <v>4000</v>
      </c>
      <c r="D30" s="459">
        <f>Org!F526</f>
        <v>5000</v>
      </c>
      <c r="E30" s="450">
        <f>Org!G526</f>
        <v>5450</v>
      </c>
    </row>
    <row r="31" spans="1:5" ht="15.75" customHeight="1">
      <c r="A31" s="332">
        <v>638000</v>
      </c>
      <c r="B31" s="272" t="s">
        <v>419</v>
      </c>
      <c r="C31" s="382">
        <f>SUM(C32:C33)</f>
        <v>90000</v>
      </c>
      <c r="D31" s="460">
        <f>SUM(D32:D33)</f>
        <v>122350</v>
      </c>
      <c r="E31" s="451">
        <f>SUM(E32:E33)</f>
        <v>159000</v>
      </c>
    </row>
    <row r="32" spans="1:5" ht="28.5" customHeight="1">
      <c r="A32" s="331">
        <v>638100</v>
      </c>
      <c r="B32" s="281" t="s">
        <v>383</v>
      </c>
      <c r="C32" s="381">
        <f>SUMIF(Org!$C$10:$D$526,638100,Org!E$10:E$526)</f>
        <v>87000</v>
      </c>
      <c r="D32" s="459">
        <f>SUMIF(Org!$C$10:$D$526,638100,Org!F$10:F$526)</f>
        <v>118600</v>
      </c>
      <c r="E32" s="450">
        <f>SUMIF(Org!$C$10:$D$526,638100,Org!G$10:G$526)</f>
        <v>154000</v>
      </c>
    </row>
    <row r="33" spans="1:5" ht="25.5">
      <c r="A33" s="331">
        <v>638100</v>
      </c>
      <c r="B33" s="244" t="s">
        <v>428</v>
      </c>
      <c r="C33" s="376">
        <f>Org!E528</f>
        <v>3000</v>
      </c>
      <c r="D33" s="215">
        <f>Org!F528</f>
        <v>3750</v>
      </c>
      <c r="E33" s="443">
        <f>Org!G528</f>
        <v>5000</v>
      </c>
    </row>
    <row r="34" spans="1:5" ht="18" customHeight="1">
      <c r="A34" s="329"/>
      <c r="B34" s="213" t="s">
        <v>514</v>
      </c>
      <c r="C34" s="373">
        <f>SUM(C35:C42)</f>
        <v>417000</v>
      </c>
      <c r="D34" s="454">
        <f>SUM(D35:D44)</f>
        <v>467467.64</v>
      </c>
      <c r="E34" s="440">
        <f>SUM(E35:E42)</f>
        <v>139000</v>
      </c>
    </row>
    <row r="35" spans="1:5" ht="25.5">
      <c r="A35" s="333" t="s">
        <v>338</v>
      </c>
      <c r="B35" s="217" t="s">
        <v>467</v>
      </c>
      <c r="C35" s="378">
        <v>59382</v>
      </c>
      <c r="D35" s="457">
        <v>59382</v>
      </c>
      <c r="E35" s="445">
        <v>0</v>
      </c>
    </row>
    <row r="36" spans="1:5" ht="38.25">
      <c r="A36" s="334" t="s">
        <v>338</v>
      </c>
      <c r="B36" s="105" t="s">
        <v>452</v>
      </c>
      <c r="C36" s="378">
        <v>25000</v>
      </c>
      <c r="D36" s="457">
        <v>25000</v>
      </c>
      <c r="E36" s="445">
        <v>0</v>
      </c>
    </row>
    <row r="37" spans="1:5" ht="25.5">
      <c r="A37" s="334" t="s">
        <v>338</v>
      </c>
      <c r="B37" s="105" t="s">
        <v>355</v>
      </c>
      <c r="C37" s="378">
        <v>32000</v>
      </c>
      <c r="D37" s="457">
        <v>32000</v>
      </c>
      <c r="E37" s="445">
        <v>79000</v>
      </c>
    </row>
    <row r="38" spans="1:5" ht="27" customHeight="1">
      <c r="A38" s="334" t="s">
        <v>338</v>
      </c>
      <c r="B38" s="105" t="s">
        <v>356</v>
      </c>
      <c r="C38" s="378">
        <v>300618</v>
      </c>
      <c r="D38" s="457">
        <v>300618</v>
      </c>
      <c r="E38" s="445">
        <v>60000</v>
      </c>
    </row>
    <row r="39" spans="1:5" ht="29.25" customHeight="1" hidden="1">
      <c r="A39" s="334" t="s">
        <v>338</v>
      </c>
      <c r="B39" s="418" t="s">
        <v>505</v>
      </c>
      <c r="C39" s="419">
        <v>0</v>
      </c>
      <c r="D39" s="457"/>
      <c r="E39" s="452"/>
    </row>
    <row r="40" spans="1:5" ht="36" customHeight="1" hidden="1">
      <c r="A40" s="334" t="s">
        <v>338</v>
      </c>
      <c r="B40" s="418" t="s">
        <v>506</v>
      </c>
      <c r="C40" s="419">
        <v>0</v>
      </c>
      <c r="D40" s="457"/>
      <c r="E40" s="452"/>
    </row>
    <row r="41" spans="1:5" ht="40.5" customHeight="1">
      <c r="A41" s="334" t="s">
        <v>338</v>
      </c>
      <c r="B41" s="418" t="s">
        <v>577</v>
      </c>
      <c r="C41" s="419">
        <v>0</v>
      </c>
      <c r="D41" s="457">
        <v>15646.64</v>
      </c>
      <c r="E41" s="452">
        <v>0</v>
      </c>
    </row>
    <row r="42" spans="1:5" ht="36.75" customHeight="1">
      <c r="A42" s="334" t="s">
        <v>338</v>
      </c>
      <c r="B42" s="418" t="s">
        <v>545</v>
      </c>
      <c r="C42" s="419">
        <v>0</v>
      </c>
      <c r="D42" s="457">
        <v>5000</v>
      </c>
      <c r="E42" s="452">
        <v>0</v>
      </c>
    </row>
    <row r="43" spans="1:5" ht="41.25" customHeight="1">
      <c r="A43" s="334" t="s">
        <v>338</v>
      </c>
      <c r="B43" s="418" t="s">
        <v>578</v>
      </c>
      <c r="C43" s="419">
        <v>0</v>
      </c>
      <c r="D43" s="509">
        <v>19821</v>
      </c>
      <c r="E43" s="452">
        <v>0</v>
      </c>
    </row>
    <row r="44" spans="1:5" ht="30.75" customHeight="1">
      <c r="A44" s="334" t="s">
        <v>338</v>
      </c>
      <c r="B44" s="418" t="s">
        <v>583</v>
      </c>
      <c r="C44" s="419">
        <v>0</v>
      </c>
      <c r="D44" s="509">
        <v>10000</v>
      </c>
      <c r="E44" s="452">
        <v>0</v>
      </c>
    </row>
    <row r="45" spans="1:5" s="5" customFormat="1" ht="21" customHeight="1" thickBot="1">
      <c r="A45" s="335"/>
      <c r="B45" s="336" t="s">
        <v>393</v>
      </c>
      <c r="C45" s="383">
        <f>C6+C11+C20+C34</f>
        <v>-1172000</v>
      </c>
      <c r="D45" s="461">
        <f>D6+D11+D20+D34</f>
        <v>-783191.9999999999</v>
      </c>
      <c r="E45" s="453">
        <f>E6+E11+E20+E34</f>
        <v>-922450</v>
      </c>
    </row>
    <row r="46" spans="1:2" ht="18" customHeight="1" thickTop="1">
      <c r="A46" s="127"/>
      <c r="B46" s="125"/>
    </row>
    <row r="47" spans="1:2" ht="18" customHeight="1">
      <c r="A47" s="3"/>
      <c r="B47" s="125"/>
    </row>
    <row r="48" spans="1:2" ht="14.25" customHeight="1">
      <c r="A48" s="3"/>
      <c r="B48" s="125"/>
    </row>
    <row r="49" ht="16.5" customHeight="1">
      <c r="A49" s="3"/>
    </row>
    <row r="50" ht="16.5" customHeight="1">
      <c r="A50" s="4"/>
    </row>
    <row r="51" spans="1:2" ht="15.75" customHeight="1">
      <c r="A51" s="128"/>
      <c r="B51" s="128"/>
    </row>
    <row r="52" spans="1:2" ht="12.75">
      <c r="A52" s="128"/>
      <c r="B52" s="128"/>
    </row>
    <row r="53" spans="1:2" ht="17.25" customHeight="1">
      <c r="A53" s="128"/>
      <c r="B53" s="128"/>
    </row>
    <row r="54" spans="1:2" ht="12.75">
      <c r="A54" s="128"/>
      <c r="B54" s="128"/>
    </row>
    <row r="55" spans="1:2" ht="12.75">
      <c r="A55" s="128"/>
      <c r="B55" s="128"/>
    </row>
    <row r="56" spans="1:2" ht="12.75">
      <c r="A56" s="128"/>
      <c r="B56" s="128"/>
    </row>
    <row r="57" spans="1:2" ht="23.25" customHeight="1">
      <c r="A57" s="128"/>
      <c r="B57" s="128"/>
    </row>
    <row r="58" spans="1:2" ht="16.5" customHeight="1">
      <c r="A58" s="128"/>
      <c r="B58" s="128"/>
    </row>
    <row r="59" spans="1:2" ht="12.75">
      <c r="A59" s="128"/>
      <c r="B59" s="128"/>
    </row>
    <row r="60" spans="1:2" ht="12.75">
      <c r="A60" s="128"/>
      <c r="B60" s="128"/>
    </row>
    <row r="61" spans="1:2" ht="15" customHeight="1">
      <c r="A61" s="128"/>
      <c r="B61" s="128"/>
    </row>
    <row r="62" spans="1:2" ht="12.75">
      <c r="A62" s="128"/>
      <c r="B62" s="128"/>
    </row>
    <row r="63" spans="1:2" ht="26.25" customHeight="1">
      <c r="A63" s="128"/>
      <c r="B63" s="128"/>
    </row>
    <row r="64" spans="1:2" ht="12.75">
      <c r="A64" s="128"/>
      <c r="B64" s="128"/>
    </row>
    <row r="65" spans="1:2" ht="12.75">
      <c r="A65" s="128"/>
      <c r="B65" s="128"/>
    </row>
    <row r="66" spans="1:2" ht="12.75">
      <c r="A66" s="128"/>
      <c r="B66" s="128"/>
    </row>
    <row r="67" spans="1:2" ht="12.75">
      <c r="A67" s="128"/>
      <c r="B67" s="128"/>
    </row>
    <row r="68" spans="1:2" ht="12.75">
      <c r="A68" s="128"/>
      <c r="B68" s="128"/>
    </row>
    <row r="69" spans="1:2" ht="12.75">
      <c r="A69" s="128"/>
      <c r="B69" s="128"/>
    </row>
    <row r="70" spans="1:2" ht="15.75" customHeight="1">
      <c r="A70" s="128"/>
      <c r="B70" s="128"/>
    </row>
    <row r="71" spans="1:2" ht="12.75">
      <c r="A71" s="128"/>
      <c r="B71" s="128"/>
    </row>
    <row r="72" spans="1:2" ht="12.75">
      <c r="A72" s="128"/>
      <c r="B72" s="128"/>
    </row>
    <row r="73" spans="1:2" ht="12.75">
      <c r="A73" s="128"/>
      <c r="B73" s="128"/>
    </row>
    <row r="74" spans="1:2" ht="12.75" customHeight="1">
      <c r="A74" s="128"/>
      <c r="B74" s="128"/>
    </row>
    <row r="75" spans="1:2" ht="12.75">
      <c r="A75" s="128"/>
      <c r="B75" s="128"/>
    </row>
    <row r="76" spans="1:2" s="126" customFormat="1" ht="11.25">
      <c r="A76" s="128"/>
      <c r="B76" s="128"/>
    </row>
    <row r="77" spans="1:2" s="126" customFormat="1" ht="11.25">
      <c r="A77" s="128"/>
      <c r="B77" s="128"/>
    </row>
    <row r="78" spans="1:2" s="126" customFormat="1" ht="11.25">
      <c r="A78" s="128"/>
      <c r="B78" s="128"/>
    </row>
    <row r="79" spans="1:2" s="126" customFormat="1" ht="11.25">
      <c r="A79" s="128"/>
      <c r="B79" s="128"/>
    </row>
    <row r="80" spans="1:2" s="126" customFormat="1" ht="11.25">
      <c r="A80" s="128"/>
      <c r="B80" s="128"/>
    </row>
    <row r="81" spans="1:2" s="126" customFormat="1" ht="11.25">
      <c r="A81" s="128"/>
      <c r="B81" s="128"/>
    </row>
    <row r="82" spans="1:2" s="126" customFormat="1" ht="11.25">
      <c r="A82" s="128"/>
      <c r="B82" s="128"/>
    </row>
    <row r="83" spans="1:2" s="126" customFormat="1" ht="11.25">
      <c r="A83" s="128"/>
      <c r="B83" s="128"/>
    </row>
    <row r="84" spans="1:2" s="126" customFormat="1" ht="11.25">
      <c r="A84" s="128"/>
      <c r="B84" s="128"/>
    </row>
    <row r="85" spans="1:2" s="126" customFormat="1" ht="11.25">
      <c r="A85" s="128"/>
      <c r="B85" s="128"/>
    </row>
    <row r="86" spans="1:2" s="126" customFormat="1" ht="11.25">
      <c r="A86" s="128"/>
      <c r="B86" s="128"/>
    </row>
    <row r="87" spans="1:2" s="126" customFormat="1" ht="11.25">
      <c r="A87" s="128"/>
      <c r="B87" s="128"/>
    </row>
    <row r="88" spans="1:2" s="126" customFormat="1" ht="11.25">
      <c r="A88" s="128"/>
      <c r="B88" s="128"/>
    </row>
    <row r="89" spans="1:2" s="126" customFormat="1" ht="11.25">
      <c r="A89" s="128"/>
      <c r="B89" s="128"/>
    </row>
    <row r="90" spans="1:2" s="126" customFormat="1" ht="11.25">
      <c r="A90" s="128"/>
      <c r="B90" s="128"/>
    </row>
    <row r="91" spans="1:2" s="126" customFormat="1" ht="11.25">
      <c r="A91" s="128"/>
      <c r="B91" s="128"/>
    </row>
    <row r="92" spans="1:2" s="126" customFormat="1" ht="11.25">
      <c r="A92" s="128"/>
      <c r="B92" s="128"/>
    </row>
    <row r="93" spans="1:2" s="126" customFormat="1" ht="11.25">
      <c r="A93" s="128"/>
      <c r="B93" s="128"/>
    </row>
    <row r="94" spans="1:2" s="126" customFormat="1" ht="11.25">
      <c r="A94" s="128"/>
      <c r="B94" s="128"/>
    </row>
    <row r="95" spans="1:2" s="126" customFormat="1" ht="11.25">
      <c r="A95" s="128"/>
      <c r="B95" s="128"/>
    </row>
    <row r="96" spans="1:2" s="126" customFormat="1" ht="11.25">
      <c r="A96" s="128"/>
      <c r="B96" s="128"/>
    </row>
    <row r="97" spans="1:2" s="126" customFormat="1" ht="11.25">
      <c r="A97" s="128"/>
      <c r="B97" s="128"/>
    </row>
    <row r="98" spans="1:2" s="126" customFormat="1" ht="11.25">
      <c r="A98" s="128"/>
      <c r="B98" s="128"/>
    </row>
    <row r="99" spans="1:2" s="126" customFormat="1" ht="11.25">
      <c r="A99" s="128"/>
      <c r="B99" s="128"/>
    </row>
    <row r="100" spans="1:2" s="126" customFormat="1" ht="11.25">
      <c r="A100" s="128"/>
      <c r="B100" s="128"/>
    </row>
    <row r="101" spans="1:2" s="126" customFormat="1" ht="11.25">
      <c r="A101" s="128"/>
      <c r="B101" s="128"/>
    </row>
    <row r="102" spans="1:2" s="126" customFormat="1" ht="11.25">
      <c r="A102" s="128"/>
      <c r="B102" s="128"/>
    </row>
    <row r="103" spans="1:2" s="126" customFormat="1" ht="11.25">
      <c r="A103" s="128"/>
      <c r="B103" s="128"/>
    </row>
    <row r="104" spans="1:2" s="126" customFormat="1" ht="11.25">
      <c r="A104" s="128"/>
      <c r="B104" s="128"/>
    </row>
    <row r="105" spans="1:2" s="126" customFormat="1" ht="11.25">
      <c r="A105" s="128"/>
      <c r="B105" s="128"/>
    </row>
    <row r="106" spans="1:2" s="126" customFormat="1" ht="11.25">
      <c r="A106" s="128"/>
      <c r="B106" s="128"/>
    </row>
    <row r="107" spans="1:2" s="126" customFormat="1" ht="11.25">
      <c r="A107" s="128"/>
      <c r="B107" s="128"/>
    </row>
    <row r="108" spans="1:2" ht="12.75">
      <c r="A108" s="128"/>
      <c r="B108" s="128"/>
    </row>
    <row r="109" spans="1:2" ht="12.75">
      <c r="A109" s="128"/>
      <c r="B109" s="128"/>
    </row>
    <row r="110" spans="1:2" ht="12.75">
      <c r="A110" s="128"/>
      <c r="B110" s="128"/>
    </row>
    <row r="111" spans="1:2" ht="12.75">
      <c r="A111" s="128"/>
      <c r="B111" s="128"/>
    </row>
    <row r="112" spans="1:2" ht="12.75">
      <c r="A112" s="128"/>
      <c r="B112" s="128"/>
    </row>
    <row r="113" spans="1:2" ht="12.75">
      <c r="A113" s="128"/>
      <c r="B113" s="128"/>
    </row>
    <row r="114" spans="1:2" ht="12.75">
      <c r="A114" s="128"/>
      <c r="B114" s="128"/>
    </row>
    <row r="115" spans="1:2" ht="12.75">
      <c r="A115" s="128"/>
      <c r="B115" s="128"/>
    </row>
    <row r="116" spans="1:2" ht="12.75">
      <c r="A116" s="128"/>
      <c r="B116" s="128"/>
    </row>
    <row r="117" spans="1:2" ht="12.75">
      <c r="A117" s="128"/>
      <c r="B117" s="128"/>
    </row>
    <row r="118" spans="1:2" ht="12.75">
      <c r="A118" s="128"/>
      <c r="B118" s="128"/>
    </row>
    <row r="119" spans="1:2" ht="12.75">
      <c r="A119" s="128"/>
      <c r="B119" s="3"/>
    </row>
    <row r="120" spans="1:2" ht="12.75">
      <c r="A120" s="4"/>
      <c r="B120" s="3"/>
    </row>
    <row r="121" spans="1:2" ht="12.75">
      <c r="A121" s="4"/>
      <c r="B121" s="3"/>
    </row>
    <row r="122" spans="1:2" ht="12.75">
      <c r="A122" s="4"/>
      <c r="B122" s="3"/>
    </row>
    <row r="123" spans="1:2" ht="12.75">
      <c r="A123" s="4"/>
      <c r="B123" s="3"/>
    </row>
    <row r="124" spans="1:2" ht="12.75">
      <c r="A124" s="4"/>
      <c r="B124" s="3"/>
    </row>
    <row r="125" spans="1:2" ht="12.75">
      <c r="A125" s="4"/>
      <c r="B125" s="3"/>
    </row>
    <row r="126" spans="1:2" ht="12.75">
      <c r="A126" s="4"/>
      <c r="B126" s="3"/>
    </row>
    <row r="127" spans="1:2" ht="12.75">
      <c r="A127" s="4"/>
      <c r="B127" s="3"/>
    </row>
    <row r="128" spans="1:2" ht="12.75">
      <c r="A128" s="4"/>
      <c r="B128" s="3"/>
    </row>
    <row r="129" spans="1:2" ht="12.75">
      <c r="A129" s="4"/>
      <c r="B129" s="3"/>
    </row>
    <row r="130" spans="1:2" ht="12.75">
      <c r="A130" s="4"/>
      <c r="B130" s="3"/>
    </row>
    <row r="131" spans="1:2" s="126" customFormat="1" ht="12.75">
      <c r="A131" s="4"/>
      <c r="B131" s="3"/>
    </row>
    <row r="132" spans="1:2" s="126" customFormat="1" ht="12.75">
      <c r="A132" s="4"/>
      <c r="B132" s="3"/>
    </row>
    <row r="133" spans="1:2" s="126" customFormat="1" ht="12.75">
      <c r="A133" s="4"/>
      <c r="B133" s="3"/>
    </row>
    <row r="134" spans="1:2" s="126" customFormat="1" ht="12.75">
      <c r="A134" s="4"/>
      <c r="B134" s="3"/>
    </row>
    <row r="135" spans="1:2" s="126" customFormat="1" ht="12.75">
      <c r="A135" s="4"/>
      <c r="B135" s="3"/>
    </row>
    <row r="136" spans="1:2" s="126" customFormat="1" ht="12.75">
      <c r="A136" s="4"/>
      <c r="B136" s="3"/>
    </row>
    <row r="137" spans="1:2" s="126" customFormat="1" ht="12.75">
      <c r="A137" s="4"/>
      <c r="B137" s="3"/>
    </row>
    <row r="138" spans="1:2" s="126" customFormat="1" ht="12.75">
      <c r="A138" s="4"/>
      <c r="B138" s="3"/>
    </row>
    <row r="139" spans="1:2" s="126" customFormat="1" ht="12.75">
      <c r="A139" s="4"/>
      <c r="B139" s="3"/>
    </row>
    <row r="140" spans="1:2" s="126" customFormat="1" ht="12.75">
      <c r="A140" s="4"/>
      <c r="B140" s="3"/>
    </row>
    <row r="141" spans="1:2" s="126" customFormat="1" ht="12.75">
      <c r="A141" s="4"/>
      <c r="B141" s="3"/>
    </row>
    <row r="142" spans="1:2" s="126" customFormat="1" ht="12.75">
      <c r="A142" s="4"/>
      <c r="B142" s="3"/>
    </row>
    <row r="143" spans="1:2" s="126" customFormat="1" ht="12.75">
      <c r="A143" s="4"/>
      <c r="B143" s="3"/>
    </row>
    <row r="144" spans="1:2" s="126" customFormat="1" ht="12.75">
      <c r="A144" s="4"/>
      <c r="B144" s="3"/>
    </row>
    <row r="145" spans="1:2" s="126" customFormat="1" ht="12.75">
      <c r="A145" s="4"/>
      <c r="B145"/>
    </row>
  </sheetData>
  <sheetProtection/>
  <mergeCells count="6">
    <mergeCell ref="A1:E1"/>
    <mergeCell ref="D2:D3"/>
    <mergeCell ref="A2:A3"/>
    <mergeCell ref="B2:B3"/>
    <mergeCell ref="C2:C3"/>
    <mergeCell ref="E2:E3"/>
  </mergeCells>
  <printOptions horizontalCentered="1"/>
  <pageMargins left="0.15748031496062992" right="0.15748031496062992" top="0.4330708661417323" bottom="0.4724409448818898" header="0.2755905511811024" footer="0.236220472440944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36"/>
  <sheetViews>
    <sheetView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1"/>
    </sheetView>
  </sheetViews>
  <sheetFormatPr defaultColWidth="9.140625" defaultRowHeight="12.75"/>
  <cols>
    <col min="1" max="1" width="6.8515625" style="0" customWidth="1"/>
    <col min="2" max="2" width="10.00390625" style="0" customWidth="1"/>
    <col min="3" max="3" width="8.28125" style="0" customWidth="1"/>
    <col min="4" max="4" width="50.00390625" style="0" customWidth="1"/>
    <col min="5" max="5" width="16.57421875" style="0" customWidth="1"/>
    <col min="6" max="6" width="16.00390625" style="0" customWidth="1"/>
    <col min="7" max="7" width="16.28125" style="0" customWidth="1"/>
    <col min="8" max="8" width="9.57421875" style="0" customWidth="1"/>
    <col min="9" max="9" width="8.57421875" style="0" customWidth="1"/>
    <col min="10" max="10" width="10.421875" style="0" customWidth="1"/>
    <col min="11" max="11" width="15.28125" style="0" customWidth="1"/>
    <col min="12" max="12" width="11.421875" style="0" customWidth="1"/>
    <col min="14" max="14" width="11.7109375" style="0" bestFit="1" customWidth="1"/>
    <col min="15" max="15" width="11.421875" style="0" customWidth="1"/>
  </cols>
  <sheetData>
    <row r="1" spans="1:10" ht="36" customHeight="1" thickBot="1">
      <c r="A1" s="570" t="s">
        <v>531</v>
      </c>
      <c r="B1" s="570"/>
      <c r="C1" s="570"/>
      <c r="D1" s="570"/>
      <c r="E1" s="570"/>
      <c r="F1" s="570"/>
      <c r="G1" s="570"/>
      <c r="H1" s="570"/>
      <c r="I1" s="570"/>
      <c r="J1" s="6"/>
    </row>
    <row r="2" spans="1:10" ht="24.75" customHeight="1" thickTop="1">
      <c r="A2" s="571" t="s">
        <v>221</v>
      </c>
      <c r="B2" s="528" t="s">
        <v>3</v>
      </c>
      <c r="C2" s="528"/>
      <c r="D2" s="528" t="s">
        <v>222</v>
      </c>
      <c r="E2" s="576" t="s">
        <v>489</v>
      </c>
      <c r="F2" s="576" t="s">
        <v>534</v>
      </c>
      <c r="G2" s="576" t="s">
        <v>553</v>
      </c>
      <c r="H2" s="574" t="s">
        <v>113</v>
      </c>
      <c r="I2" s="572" t="s">
        <v>114</v>
      </c>
      <c r="J2" s="6"/>
    </row>
    <row r="3" spans="1:10" ht="30" customHeight="1">
      <c r="A3" s="539"/>
      <c r="B3" s="91" t="s">
        <v>555</v>
      </c>
      <c r="C3" s="91" t="s">
        <v>23</v>
      </c>
      <c r="D3" s="541"/>
      <c r="E3" s="574"/>
      <c r="F3" s="574"/>
      <c r="G3" s="574"/>
      <c r="H3" s="575"/>
      <c r="I3" s="573"/>
      <c r="J3" s="424"/>
    </row>
    <row r="4" spans="1:10" ht="9.75" customHeight="1">
      <c r="A4" s="92">
        <v>1</v>
      </c>
      <c r="B4" s="93">
        <v>2</v>
      </c>
      <c r="C4" s="93">
        <v>3</v>
      </c>
      <c r="D4" s="93">
        <v>4</v>
      </c>
      <c r="E4" s="294">
        <v>5</v>
      </c>
      <c r="F4" s="294">
        <v>6</v>
      </c>
      <c r="G4" s="294">
        <v>7</v>
      </c>
      <c r="H4" s="294" t="s">
        <v>541</v>
      </c>
      <c r="I4" s="296">
        <v>9</v>
      </c>
      <c r="J4" s="6"/>
    </row>
    <row r="5" spans="1:10" ht="9.75" customHeight="1">
      <c r="A5" s="550"/>
      <c r="B5" s="551"/>
      <c r="C5" s="544" t="s">
        <v>232</v>
      </c>
      <c r="D5" s="545"/>
      <c r="E5" s="146"/>
      <c r="F5" s="146"/>
      <c r="G5" s="146"/>
      <c r="H5" s="146"/>
      <c r="I5" s="297"/>
      <c r="J5" s="6"/>
    </row>
    <row r="6" spans="1:10" ht="9.75" customHeight="1">
      <c r="A6" s="550"/>
      <c r="B6" s="551"/>
      <c r="C6" s="544"/>
      <c r="D6" s="545"/>
      <c r="E6" s="147"/>
      <c r="F6" s="147"/>
      <c r="G6" s="147"/>
      <c r="H6" s="147"/>
      <c r="I6" s="298"/>
      <c r="J6" s="6"/>
    </row>
    <row r="7" spans="1:10" ht="19.5" customHeight="1">
      <c r="A7" s="550"/>
      <c r="B7" s="551"/>
      <c r="C7" s="544"/>
      <c r="D7" s="545"/>
      <c r="E7" s="148"/>
      <c r="F7" s="148"/>
      <c r="G7" s="148"/>
      <c r="H7" s="148"/>
      <c r="I7" s="299"/>
      <c r="J7" s="6"/>
    </row>
    <row r="8" spans="1:10" ht="15" customHeight="1">
      <c r="A8" s="120"/>
      <c r="B8" s="19">
        <v>411000</v>
      </c>
      <c r="C8" s="13"/>
      <c r="D8" s="28" t="s">
        <v>133</v>
      </c>
      <c r="E8" s="287">
        <f>SUM(E9)</f>
        <v>2000</v>
      </c>
      <c r="F8" s="287">
        <f>SUM(F9)</f>
        <v>2000</v>
      </c>
      <c r="G8" s="287">
        <f>SUM(G9)</f>
        <v>2000</v>
      </c>
      <c r="H8" s="289">
        <f>IF(E8&gt;0,G8/E8*100,0)</f>
        <v>100</v>
      </c>
      <c r="I8" s="288">
        <f aca="true" t="shared" si="0" ref="I8:I20">G8/$G$534*100</f>
        <v>0.012578616352201257</v>
      </c>
      <c r="J8" s="6"/>
    </row>
    <row r="9" spans="1:10" ht="13.5" customHeight="1">
      <c r="A9" s="120" t="s">
        <v>24</v>
      </c>
      <c r="B9" s="207"/>
      <c r="C9" s="210">
        <v>411200</v>
      </c>
      <c r="D9" s="40" t="s">
        <v>397</v>
      </c>
      <c r="E9" s="386">
        <v>2000</v>
      </c>
      <c r="F9" s="386">
        <v>2000</v>
      </c>
      <c r="G9" s="386">
        <v>2000</v>
      </c>
      <c r="H9" s="341">
        <f aca="true" t="shared" si="1" ref="H9:H20">IF(E9&gt;0,G9/E9*100,0)</f>
        <v>100</v>
      </c>
      <c r="I9" s="227">
        <f t="shared" si="0"/>
        <v>0.012578616352201257</v>
      </c>
      <c r="J9" s="6"/>
    </row>
    <row r="10" spans="1:10" ht="14.25" customHeight="1">
      <c r="A10" s="120"/>
      <c r="B10" s="19">
        <v>412000</v>
      </c>
      <c r="C10" s="13"/>
      <c r="D10" s="28" t="s">
        <v>134</v>
      </c>
      <c r="E10" s="56">
        <f>SUM(E11:E15)</f>
        <v>272000</v>
      </c>
      <c r="F10" s="56">
        <f>SUM(F11:F16)</f>
        <v>253800</v>
      </c>
      <c r="G10" s="56">
        <f>SUM(G11:G16)</f>
        <v>365600</v>
      </c>
      <c r="H10" s="289">
        <f t="shared" si="1"/>
        <v>134.41176470588238</v>
      </c>
      <c r="I10" s="253">
        <f t="shared" si="0"/>
        <v>2.29937106918239</v>
      </c>
      <c r="J10" s="6"/>
    </row>
    <row r="11" spans="1:10" ht="12.75" customHeight="1">
      <c r="A11" s="120" t="s">
        <v>24</v>
      </c>
      <c r="B11" s="21"/>
      <c r="C11" s="13">
        <v>412900</v>
      </c>
      <c r="D11" s="26" t="s">
        <v>0</v>
      </c>
      <c r="E11" s="170">
        <v>10000</v>
      </c>
      <c r="F11" s="170">
        <v>10000</v>
      </c>
      <c r="G11" s="170">
        <v>10500</v>
      </c>
      <c r="H11" s="341">
        <f t="shared" si="1"/>
        <v>105</v>
      </c>
      <c r="I11" s="227">
        <f t="shared" si="0"/>
        <v>0.0660377358490566</v>
      </c>
      <c r="J11" s="10"/>
    </row>
    <row r="12" spans="1:10" ht="12.75" customHeight="1">
      <c r="A12" s="120" t="s">
        <v>24</v>
      </c>
      <c r="B12" s="21"/>
      <c r="C12" s="13">
        <v>412900</v>
      </c>
      <c r="D12" s="26" t="s">
        <v>223</v>
      </c>
      <c r="E12" s="161">
        <v>3000</v>
      </c>
      <c r="F12" s="161">
        <v>3000</v>
      </c>
      <c r="G12" s="161">
        <v>2500</v>
      </c>
      <c r="H12" s="341">
        <f t="shared" si="1"/>
        <v>83.33333333333334</v>
      </c>
      <c r="I12" s="227">
        <f t="shared" si="0"/>
        <v>0.015723270440251572</v>
      </c>
      <c r="J12" s="10"/>
    </row>
    <row r="13" spans="1:10" ht="12.75" customHeight="1">
      <c r="A13" s="36" t="s">
        <v>24</v>
      </c>
      <c r="B13" s="21"/>
      <c r="C13" s="34">
        <v>412900</v>
      </c>
      <c r="D13" s="30" t="s">
        <v>96</v>
      </c>
      <c r="E13" s="170">
        <v>240000</v>
      </c>
      <c r="F13" s="170">
        <v>224000</v>
      </c>
      <c r="G13" s="170">
        <v>226600</v>
      </c>
      <c r="H13" s="341">
        <f t="shared" si="1"/>
        <v>94.41666666666667</v>
      </c>
      <c r="I13" s="227">
        <f t="shared" si="0"/>
        <v>1.4251572327044024</v>
      </c>
      <c r="J13" s="10"/>
    </row>
    <row r="14" spans="1:10" ht="12.75" customHeight="1">
      <c r="A14" s="36" t="s">
        <v>24</v>
      </c>
      <c r="B14" s="21"/>
      <c r="C14" s="34">
        <v>412900</v>
      </c>
      <c r="D14" s="30" t="s">
        <v>197</v>
      </c>
      <c r="E14" s="170">
        <v>4000</v>
      </c>
      <c r="F14" s="170">
        <v>4000</v>
      </c>
      <c r="G14" s="170">
        <v>4000</v>
      </c>
      <c r="H14" s="341">
        <f t="shared" si="1"/>
        <v>100</v>
      </c>
      <c r="I14" s="227">
        <f t="shared" si="0"/>
        <v>0.025157232704402514</v>
      </c>
      <c r="J14" s="10"/>
    </row>
    <row r="15" spans="1:10" ht="12.75" customHeight="1">
      <c r="A15" s="36" t="s">
        <v>26</v>
      </c>
      <c r="B15" s="21"/>
      <c r="C15" s="34">
        <v>412900</v>
      </c>
      <c r="D15" s="30" t="s">
        <v>231</v>
      </c>
      <c r="E15" s="170">
        <v>15000</v>
      </c>
      <c r="F15" s="170">
        <v>12800</v>
      </c>
      <c r="G15" s="170">
        <v>119000</v>
      </c>
      <c r="H15" s="341">
        <f t="shared" si="1"/>
        <v>793.3333333333334</v>
      </c>
      <c r="I15" s="227">
        <f t="shared" si="0"/>
        <v>0.7484276729559748</v>
      </c>
      <c r="J15" s="10"/>
    </row>
    <row r="16" spans="1:10" ht="12.75" customHeight="1">
      <c r="A16" s="36" t="s">
        <v>24</v>
      </c>
      <c r="B16" s="21"/>
      <c r="C16" s="34">
        <v>412900</v>
      </c>
      <c r="D16" s="30" t="s">
        <v>143</v>
      </c>
      <c r="E16" s="170">
        <v>0</v>
      </c>
      <c r="F16" s="170">
        <v>0</v>
      </c>
      <c r="G16" s="170">
        <v>3000</v>
      </c>
      <c r="H16" s="341">
        <f t="shared" si="1"/>
        <v>0</v>
      </c>
      <c r="I16" s="227">
        <f t="shared" si="0"/>
        <v>0.018867924528301886</v>
      </c>
      <c r="J16" s="10"/>
    </row>
    <row r="17" spans="1:10" ht="14.25" customHeight="1">
      <c r="A17" s="120"/>
      <c r="B17" s="19">
        <v>415000</v>
      </c>
      <c r="C17" s="13"/>
      <c r="D17" s="31" t="s">
        <v>148</v>
      </c>
      <c r="E17" s="56">
        <f>SUM(E18:E19)</f>
        <v>30000</v>
      </c>
      <c r="F17" s="56">
        <f>SUM(F18:F19)</f>
        <v>27000</v>
      </c>
      <c r="G17" s="56">
        <f>SUM(G18:G19)</f>
        <v>38300</v>
      </c>
      <c r="H17" s="289">
        <f t="shared" si="1"/>
        <v>127.66666666666666</v>
      </c>
      <c r="I17" s="253">
        <f t="shared" si="0"/>
        <v>0.24088050314465412</v>
      </c>
      <c r="J17" s="10"/>
    </row>
    <row r="18" spans="1:10" ht="12.75" customHeight="1">
      <c r="A18" s="120" t="s">
        <v>26</v>
      </c>
      <c r="B18" s="21"/>
      <c r="C18" s="13">
        <v>415200</v>
      </c>
      <c r="D18" s="26" t="s">
        <v>230</v>
      </c>
      <c r="E18" s="170">
        <v>30000</v>
      </c>
      <c r="F18" s="170">
        <v>27000</v>
      </c>
      <c r="G18" s="170">
        <v>30800</v>
      </c>
      <c r="H18" s="341">
        <f t="shared" si="1"/>
        <v>102.66666666666666</v>
      </c>
      <c r="I18" s="227">
        <f t="shared" si="0"/>
        <v>0.19371069182389938</v>
      </c>
      <c r="J18" s="10"/>
    </row>
    <row r="19" spans="1:10" ht="21.75" customHeight="1">
      <c r="A19" s="120" t="s">
        <v>26</v>
      </c>
      <c r="B19" s="21"/>
      <c r="C19" s="13">
        <v>415200</v>
      </c>
      <c r="D19" s="26" t="s">
        <v>409</v>
      </c>
      <c r="E19" s="170">
        <v>0</v>
      </c>
      <c r="F19" s="170">
        <v>0</v>
      </c>
      <c r="G19" s="170">
        <v>7500</v>
      </c>
      <c r="H19" s="341">
        <f t="shared" si="1"/>
        <v>0</v>
      </c>
      <c r="I19" s="227">
        <f t="shared" si="0"/>
        <v>0.04716981132075472</v>
      </c>
      <c r="J19" s="10"/>
    </row>
    <row r="20" spans="1:10" ht="27" customHeight="1">
      <c r="A20" s="550"/>
      <c r="B20" s="551"/>
      <c r="C20" s="546" t="s">
        <v>80</v>
      </c>
      <c r="D20" s="546"/>
      <c r="E20" s="282">
        <f>E8+E10+E17</f>
        <v>304000</v>
      </c>
      <c r="F20" s="282">
        <f>F8+F10+F17</f>
        <v>282800</v>
      </c>
      <c r="G20" s="282">
        <f>G8+G10+G17</f>
        <v>405900</v>
      </c>
      <c r="H20" s="435">
        <f t="shared" si="1"/>
        <v>133.51973684210526</v>
      </c>
      <c r="I20" s="286">
        <f t="shared" si="0"/>
        <v>2.5528301886792453</v>
      </c>
      <c r="J20" s="10"/>
    </row>
    <row r="21" spans="1:10" ht="9.75" customHeight="1">
      <c r="A21" s="550"/>
      <c r="B21" s="551"/>
      <c r="C21" s="544" t="s">
        <v>233</v>
      </c>
      <c r="D21" s="545"/>
      <c r="E21" s="149"/>
      <c r="F21" s="149"/>
      <c r="G21" s="149"/>
      <c r="H21" s="149"/>
      <c r="I21" s="300"/>
      <c r="J21" s="10"/>
    </row>
    <row r="22" spans="1:10" ht="9.75" customHeight="1">
      <c r="A22" s="550"/>
      <c r="B22" s="551"/>
      <c r="C22" s="544"/>
      <c r="D22" s="545"/>
      <c r="E22" s="150"/>
      <c r="F22" s="150"/>
      <c r="G22" s="150"/>
      <c r="H22" s="150"/>
      <c r="I22" s="301"/>
      <c r="J22" s="10"/>
    </row>
    <row r="23" spans="1:10" ht="19.5" customHeight="1">
      <c r="A23" s="550"/>
      <c r="B23" s="551"/>
      <c r="C23" s="544"/>
      <c r="D23" s="545"/>
      <c r="E23" s="151"/>
      <c r="F23" s="151"/>
      <c r="G23" s="151"/>
      <c r="H23" s="151"/>
      <c r="I23" s="302"/>
      <c r="J23" s="10"/>
    </row>
    <row r="24" spans="1:10" ht="15" customHeight="1">
      <c r="A24" s="120"/>
      <c r="B24" s="19">
        <v>411000</v>
      </c>
      <c r="C24" s="13"/>
      <c r="D24" s="28" t="s">
        <v>133</v>
      </c>
      <c r="E24" s="287">
        <f>SUM(E25)</f>
        <v>2500</v>
      </c>
      <c r="F24" s="287">
        <f>SUM(F25)</f>
        <v>2500</v>
      </c>
      <c r="G24" s="287">
        <f>SUM(G25)</f>
        <v>2500</v>
      </c>
      <c r="H24" s="287">
        <f aca="true" t="shared" si="2" ref="H24:H37">IF(E24&gt;0,G24/E24*100,0)</f>
        <v>100</v>
      </c>
      <c r="I24" s="288">
        <f aca="true" t="shared" si="3" ref="I24:I37">G24/$G$534*100</f>
        <v>0.015723270440251572</v>
      </c>
      <c r="J24" s="10"/>
    </row>
    <row r="25" spans="1:10" ht="12.75">
      <c r="A25" s="120" t="s">
        <v>24</v>
      </c>
      <c r="B25" s="207"/>
      <c r="C25" s="210">
        <v>411200</v>
      </c>
      <c r="D25" s="40" t="s">
        <v>397</v>
      </c>
      <c r="E25" s="209">
        <v>2500</v>
      </c>
      <c r="F25" s="209">
        <v>2500</v>
      </c>
      <c r="G25" s="209">
        <v>2500</v>
      </c>
      <c r="H25" s="437">
        <f t="shared" si="2"/>
        <v>100</v>
      </c>
      <c r="I25" s="227">
        <f t="shared" si="3"/>
        <v>0.015723270440251572</v>
      </c>
      <c r="J25" s="10"/>
    </row>
    <row r="26" spans="1:10" ht="14.25" customHeight="1">
      <c r="A26" s="120"/>
      <c r="B26" s="19">
        <v>412000</v>
      </c>
      <c r="C26" s="13"/>
      <c r="D26" s="28" t="s">
        <v>134</v>
      </c>
      <c r="E26" s="56">
        <f>SUM(E27:E36)</f>
        <v>90200</v>
      </c>
      <c r="F26" s="56">
        <f>SUM(F27:F36)</f>
        <v>116051</v>
      </c>
      <c r="G26" s="56">
        <f>SUM(G27:G36)</f>
        <v>106200</v>
      </c>
      <c r="H26" s="287">
        <f t="shared" si="2"/>
        <v>117.73835920177385</v>
      </c>
      <c r="I26" s="253">
        <f t="shared" si="3"/>
        <v>0.6679245283018869</v>
      </c>
      <c r="J26" s="10"/>
    </row>
    <row r="27" spans="1:10" ht="12.75" customHeight="1">
      <c r="A27" s="120" t="s">
        <v>24</v>
      </c>
      <c r="B27" s="29"/>
      <c r="C27" s="13">
        <v>412900</v>
      </c>
      <c r="D27" s="26" t="s">
        <v>0</v>
      </c>
      <c r="E27" s="161">
        <v>15000</v>
      </c>
      <c r="F27" s="161">
        <v>15000</v>
      </c>
      <c r="G27" s="161">
        <v>17000</v>
      </c>
      <c r="H27" s="437">
        <f t="shared" si="2"/>
        <v>113.33333333333333</v>
      </c>
      <c r="I27" s="227">
        <f t="shared" si="3"/>
        <v>0.10691823899371068</v>
      </c>
      <c r="J27" s="10"/>
    </row>
    <row r="28" spans="1:10" ht="12.75" customHeight="1" hidden="1">
      <c r="A28" s="120" t="s">
        <v>24</v>
      </c>
      <c r="B28" s="29"/>
      <c r="C28" s="13">
        <v>412900</v>
      </c>
      <c r="D28" s="26" t="s">
        <v>362</v>
      </c>
      <c r="E28" s="161"/>
      <c r="F28" s="161"/>
      <c r="G28" s="161"/>
      <c r="H28" s="437">
        <f t="shared" si="2"/>
        <v>0</v>
      </c>
      <c r="I28" s="227">
        <f t="shared" si="3"/>
        <v>0</v>
      </c>
      <c r="J28" s="10"/>
    </row>
    <row r="29" spans="1:9" ht="12.75" customHeight="1">
      <c r="A29" s="120" t="s">
        <v>24</v>
      </c>
      <c r="B29" s="29"/>
      <c r="C29" s="34">
        <v>412900</v>
      </c>
      <c r="D29" s="30" t="s">
        <v>97</v>
      </c>
      <c r="E29" s="161">
        <v>6200</v>
      </c>
      <c r="F29" s="161">
        <v>6200</v>
      </c>
      <c r="G29" s="161">
        <v>6200</v>
      </c>
      <c r="H29" s="437">
        <f t="shared" si="2"/>
        <v>100</v>
      </c>
      <c r="I29" s="227">
        <f t="shared" si="3"/>
        <v>0.0389937106918239</v>
      </c>
    </row>
    <row r="30" spans="1:10" ht="12.75" customHeight="1" hidden="1">
      <c r="A30" s="120" t="s">
        <v>24</v>
      </c>
      <c r="B30" s="19"/>
      <c r="C30" s="33">
        <v>412900</v>
      </c>
      <c r="D30" s="35" t="s">
        <v>202</v>
      </c>
      <c r="E30" s="161"/>
      <c r="F30" s="161"/>
      <c r="G30" s="161"/>
      <c r="H30" s="437">
        <f t="shared" si="2"/>
        <v>0</v>
      </c>
      <c r="I30" s="227">
        <f t="shared" si="3"/>
        <v>0</v>
      </c>
      <c r="J30" s="6"/>
    </row>
    <row r="31" spans="1:10" ht="12" customHeight="1">
      <c r="A31" s="36" t="s">
        <v>24</v>
      </c>
      <c r="B31" s="29"/>
      <c r="C31" s="33">
        <v>412900</v>
      </c>
      <c r="D31" s="30" t="s">
        <v>271</v>
      </c>
      <c r="E31" s="161">
        <v>7000</v>
      </c>
      <c r="F31" s="161">
        <v>7000</v>
      </c>
      <c r="G31" s="161">
        <v>7000</v>
      </c>
      <c r="H31" s="437">
        <f t="shared" si="2"/>
        <v>100</v>
      </c>
      <c r="I31" s="227">
        <f t="shared" si="3"/>
        <v>0.0440251572327044</v>
      </c>
      <c r="J31" s="6"/>
    </row>
    <row r="32" spans="1:10" ht="1.5" customHeight="1" hidden="1">
      <c r="A32" s="36" t="s">
        <v>24</v>
      </c>
      <c r="B32" s="29"/>
      <c r="C32" s="33">
        <v>412900</v>
      </c>
      <c r="D32" s="30" t="s">
        <v>143</v>
      </c>
      <c r="E32" s="161"/>
      <c r="F32" s="161"/>
      <c r="G32" s="161"/>
      <c r="H32" s="437">
        <f t="shared" si="2"/>
        <v>0</v>
      </c>
      <c r="I32" s="227">
        <f t="shared" si="3"/>
        <v>0</v>
      </c>
      <c r="J32" s="6"/>
    </row>
    <row r="33" spans="1:10" ht="15" customHeight="1">
      <c r="A33" s="36" t="s">
        <v>24</v>
      </c>
      <c r="B33" s="29"/>
      <c r="C33" s="33">
        <v>412900</v>
      </c>
      <c r="D33" s="30" t="s">
        <v>336</v>
      </c>
      <c r="E33" s="161">
        <v>3000</v>
      </c>
      <c r="F33" s="161">
        <v>3000</v>
      </c>
      <c r="G33" s="161">
        <v>3000</v>
      </c>
      <c r="H33" s="437">
        <f t="shared" si="2"/>
        <v>100</v>
      </c>
      <c r="I33" s="227">
        <f t="shared" si="3"/>
        <v>0.018867924528301886</v>
      </c>
      <c r="J33" s="6"/>
    </row>
    <row r="34" spans="1:10" ht="24" customHeight="1" hidden="1">
      <c r="A34" s="36" t="s">
        <v>24</v>
      </c>
      <c r="B34" s="29"/>
      <c r="C34" s="33">
        <v>412900</v>
      </c>
      <c r="D34" s="30" t="s">
        <v>411</v>
      </c>
      <c r="E34" s="170"/>
      <c r="F34" s="170"/>
      <c r="G34" s="170"/>
      <c r="H34" s="437">
        <f t="shared" si="2"/>
        <v>0</v>
      </c>
      <c r="I34" s="227">
        <f t="shared" si="3"/>
        <v>0</v>
      </c>
      <c r="J34" s="6"/>
    </row>
    <row r="35" spans="1:10" ht="22.5" customHeight="1">
      <c r="A35" s="36" t="s">
        <v>24</v>
      </c>
      <c r="B35" s="29"/>
      <c r="C35" s="33">
        <v>412900</v>
      </c>
      <c r="D35" s="30" t="s">
        <v>465</v>
      </c>
      <c r="E35" s="170">
        <v>59000</v>
      </c>
      <c r="F35" s="170">
        <v>81850</v>
      </c>
      <c r="G35" s="170">
        <v>73000</v>
      </c>
      <c r="H35" s="437">
        <f t="shared" si="2"/>
        <v>123.72881355932203</v>
      </c>
      <c r="I35" s="227">
        <f t="shared" si="3"/>
        <v>0.4591194968553459</v>
      </c>
      <c r="J35" s="6"/>
    </row>
    <row r="36" spans="1:10" ht="22.5" customHeight="1">
      <c r="A36" s="36" t="s">
        <v>24</v>
      </c>
      <c r="B36" s="29"/>
      <c r="C36" s="33">
        <v>412900</v>
      </c>
      <c r="D36" s="30" t="s">
        <v>544</v>
      </c>
      <c r="E36" s="170">
        <v>0</v>
      </c>
      <c r="F36" s="170">
        <v>3001</v>
      </c>
      <c r="G36" s="170">
        <v>0</v>
      </c>
      <c r="H36" s="437">
        <f t="shared" si="2"/>
        <v>0</v>
      </c>
      <c r="I36" s="227">
        <f t="shared" si="3"/>
        <v>0</v>
      </c>
      <c r="J36" s="6"/>
    </row>
    <row r="37" spans="1:10" ht="27" customHeight="1">
      <c r="A37" s="550"/>
      <c r="B37" s="551"/>
      <c r="C37" s="546" t="s">
        <v>81</v>
      </c>
      <c r="D37" s="546"/>
      <c r="E37" s="60">
        <f>E24+E26</f>
        <v>92700</v>
      </c>
      <c r="F37" s="60">
        <f>F24+F26</f>
        <v>118551</v>
      </c>
      <c r="G37" s="60">
        <f>G24+G26</f>
        <v>108700</v>
      </c>
      <c r="H37" s="438">
        <f t="shared" si="2"/>
        <v>117.25997842502697</v>
      </c>
      <c r="I37" s="262">
        <f t="shared" si="3"/>
        <v>0.6836477987421384</v>
      </c>
      <c r="J37" s="6"/>
    </row>
    <row r="38" spans="1:10" ht="12.75" customHeight="1">
      <c r="A38" s="398"/>
      <c r="B38" s="399"/>
      <c r="C38" s="562" t="s">
        <v>303</v>
      </c>
      <c r="D38" s="563"/>
      <c r="E38" s="405"/>
      <c r="F38" s="405"/>
      <c r="G38" s="405"/>
      <c r="H38" s="405"/>
      <c r="I38" s="406"/>
      <c r="J38" s="6"/>
    </row>
    <row r="39" spans="1:10" ht="12.75">
      <c r="A39" s="400"/>
      <c r="B39" s="401"/>
      <c r="C39" s="564"/>
      <c r="D39" s="565"/>
      <c r="E39" s="407"/>
      <c r="F39" s="407"/>
      <c r="G39" s="407"/>
      <c r="H39" s="407"/>
      <c r="I39" s="408"/>
      <c r="J39" s="6"/>
    </row>
    <row r="40" spans="1:10" ht="12.75">
      <c r="A40" s="402"/>
      <c r="B40" s="403"/>
      <c r="C40" s="566"/>
      <c r="D40" s="567"/>
      <c r="E40" s="409"/>
      <c r="F40" s="409"/>
      <c r="G40" s="409"/>
      <c r="H40" s="409"/>
      <c r="I40" s="410"/>
      <c r="J40" s="6"/>
    </row>
    <row r="41" spans="1:10" ht="12.75">
      <c r="A41" s="120"/>
      <c r="B41" s="19">
        <v>412000</v>
      </c>
      <c r="C41" s="13"/>
      <c r="D41" s="28" t="s">
        <v>134</v>
      </c>
      <c r="E41" s="289">
        <f>SUM(E42:E48)</f>
        <v>25600</v>
      </c>
      <c r="F41" s="289">
        <f>SUM(F42:F48)</f>
        <v>38400</v>
      </c>
      <c r="G41" s="289">
        <f>SUM(G42:G48)</f>
        <v>20700</v>
      </c>
      <c r="H41" s="289">
        <f aca="true" t="shared" si="4" ref="H41:H60">IF(E41&gt;0,G41/E41*100,0)</f>
        <v>80.859375</v>
      </c>
      <c r="I41" s="290">
        <f aca="true" t="shared" si="5" ref="I41:I60">G41/$G$534*100</f>
        <v>0.13018867924528302</v>
      </c>
      <c r="J41" s="6"/>
    </row>
    <row r="42" spans="1:10" ht="24">
      <c r="A42" s="120" t="s">
        <v>55</v>
      </c>
      <c r="B42" s="19"/>
      <c r="C42" s="13">
        <v>412200</v>
      </c>
      <c r="D42" s="26" t="s">
        <v>136</v>
      </c>
      <c r="E42" s="170">
        <v>10500</v>
      </c>
      <c r="F42" s="170">
        <v>11500</v>
      </c>
      <c r="G42" s="170">
        <v>11500</v>
      </c>
      <c r="H42" s="341">
        <f t="shared" si="4"/>
        <v>109.52380952380953</v>
      </c>
      <c r="I42" s="257">
        <f t="shared" si="5"/>
        <v>0.07232704402515723</v>
      </c>
      <c r="J42" s="6"/>
    </row>
    <row r="43" spans="1:10" ht="12.75">
      <c r="A43" s="120" t="s">
        <v>55</v>
      </c>
      <c r="B43" s="19"/>
      <c r="C43" s="13">
        <v>412300</v>
      </c>
      <c r="D43" s="29" t="s">
        <v>137</v>
      </c>
      <c r="E43" s="170">
        <v>500</v>
      </c>
      <c r="F43" s="170">
        <v>1000</v>
      </c>
      <c r="G43" s="170">
        <v>800</v>
      </c>
      <c r="H43" s="341">
        <f t="shared" si="4"/>
        <v>160</v>
      </c>
      <c r="I43" s="257">
        <f t="shared" si="5"/>
        <v>0.005031446540880504</v>
      </c>
      <c r="J43" s="6"/>
    </row>
    <row r="44" spans="1:10" ht="12.75">
      <c r="A44" s="120" t="s">
        <v>55</v>
      </c>
      <c r="B44" s="19"/>
      <c r="C44" s="13">
        <v>412400</v>
      </c>
      <c r="D44" s="26" t="s">
        <v>138</v>
      </c>
      <c r="E44" s="170">
        <v>2000</v>
      </c>
      <c r="F44" s="170">
        <v>2000</v>
      </c>
      <c r="G44" s="170">
        <v>2000</v>
      </c>
      <c r="H44" s="341">
        <f t="shared" si="4"/>
        <v>100</v>
      </c>
      <c r="I44" s="257">
        <f t="shared" si="5"/>
        <v>0.012578616352201257</v>
      </c>
      <c r="J44" s="6"/>
    </row>
    <row r="45" spans="1:10" ht="12.75">
      <c r="A45" s="120" t="s">
        <v>55</v>
      </c>
      <c r="B45" s="19"/>
      <c r="C45" s="13">
        <v>412500</v>
      </c>
      <c r="D45" s="29" t="s">
        <v>139</v>
      </c>
      <c r="E45" s="161">
        <v>6700</v>
      </c>
      <c r="F45" s="161">
        <v>10000</v>
      </c>
      <c r="G45" s="161">
        <v>0</v>
      </c>
      <c r="H45" s="341">
        <f t="shared" si="4"/>
        <v>0</v>
      </c>
      <c r="I45" s="257">
        <f t="shared" si="5"/>
        <v>0</v>
      </c>
      <c r="J45" s="6"/>
    </row>
    <row r="46" spans="1:10" ht="12.75">
      <c r="A46" s="120" t="s">
        <v>55</v>
      </c>
      <c r="B46" s="19"/>
      <c r="C46" s="66">
        <v>412700</v>
      </c>
      <c r="D46" s="66" t="s">
        <v>141</v>
      </c>
      <c r="E46" s="170">
        <v>3000</v>
      </c>
      <c r="F46" s="170">
        <v>2000</v>
      </c>
      <c r="G46" s="170">
        <v>3000</v>
      </c>
      <c r="H46" s="341">
        <f t="shared" si="4"/>
        <v>100</v>
      </c>
      <c r="I46" s="257">
        <f t="shared" si="5"/>
        <v>0.018867924528301886</v>
      </c>
      <c r="J46" s="6"/>
    </row>
    <row r="47" spans="1:10" ht="12.75">
      <c r="A47" s="120" t="s">
        <v>55</v>
      </c>
      <c r="B47" s="19"/>
      <c r="C47" s="66">
        <v>412900</v>
      </c>
      <c r="D47" s="29" t="s">
        <v>0</v>
      </c>
      <c r="E47" s="170">
        <v>400</v>
      </c>
      <c r="F47" s="170">
        <v>400</v>
      </c>
      <c r="G47" s="170">
        <v>400</v>
      </c>
      <c r="H47" s="341">
        <f t="shared" si="4"/>
        <v>100</v>
      </c>
      <c r="I47" s="257">
        <f t="shared" si="5"/>
        <v>0.002515723270440252</v>
      </c>
      <c r="J47" s="6"/>
    </row>
    <row r="48" spans="1:10" ht="12.75">
      <c r="A48" s="120" t="s">
        <v>55</v>
      </c>
      <c r="B48" s="19"/>
      <c r="C48" s="66">
        <v>412900</v>
      </c>
      <c r="D48" s="66" t="s">
        <v>143</v>
      </c>
      <c r="E48" s="170">
        <v>2500</v>
      </c>
      <c r="F48" s="170">
        <v>11500</v>
      </c>
      <c r="G48" s="170">
        <v>3000</v>
      </c>
      <c r="H48" s="341">
        <f t="shared" si="4"/>
        <v>120</v>
      </c>
      <c r="I48" s="257">
        <f t="shared" si="5"/>
        <v>0.018867924528301886</v>
      </c>
      <c r="J48" s="6"/>
    </row>
    <row r="49" spans="1:10" ht="12.75">
      <c r="A49" s="120"/>
      <c r="B49" s="19">
        <v>415000</v>
      </c>
      <c r="C49" s="66"/>
      <c r="D49" s="31" t="s">
        <v>148</v>
      </c>
      <c r="E49" s="162">
        <f>SUM(E50:E50)</f>
        <v>4500</v>
      </c>
      <c r="F49" s="162">
        <f>SUM(F50:F50)</f>
        <v>4500</v>
      </c>
      <c r="G49" s="162">
        <f>SUM(G50:G50)</f>
        <v>2000</v>
      </c>
      <c r="H49" s="289">
        <f t="shared" si="4"/>
        <v>44.44444444444444</v>
      </c>
      <c r="I49" s="254">
        <f t="shared" si="5"/>
        <v>0.012578616352201257</v>
      </c>
      <c r="J49" s="6"/>
    </row>
    <row r="50" spans="1:10" ht="22.5" customHeight="1">
      <c r="A50" s="120" t="s">
        <v>55</v>
      </c>
      <c r="B50" s="19"/>
      <c r="C50" s="66">
        <v>415200</v>
      </c>
      <c r="D50" s="26" t="s">
        <v>333</v>
      </c>
      <c r="E50" s="212">
        <v>4500</v>
      </c>
      <c r="F50" s="212">
        <v>4500</v>
      </c>
      <c r="G50" s="161">
        <v>2000</v>
      </c>
      <c r="H50" s="341">
        <f t="shared" si="4"/>
        <v>44.44444444444444</v>
      </c>
      <c r="I50" s="257">
        <f t="shared" si="5"/>
        <v>0.012578616352201257</v>
      </c>
      <c r="J50" s="6"/>
    </row>
    <row r="51" spans="1:10" ht="24">
      <c r="A51" s="120"/>
      <c r="B51" s="19"/>
      <c r="C51" s="13"/>
      <c r="D51" s="28" t="s">
        <v>579</v>
      </c>
      <c r="E51" s="162">
        <f>SUM(E53:E56)</f>
        <v>530000</v>
      </c>
      <c r="F51" s="162">
        <f>SUM(F53:F56)</f>
        <v>515500</v>
      </c>
      <c r="G51" s="162">
        <f>SUM(G52:G57)</f>
        <v>195000</v>
      </c>
      <c r="H51" s="289">
        <f t="shared" si="4"/>
        <v>36.79245283018868</v>
      </c>
      <c r="I51" s="254">
        <f t="shared" si="5"/>
        <v>1.2264150943396228</v>
      </c>
      <c r="J51" s="6"/>
    </row>
    <row r="52" spans="1:10" ht="12.75">
      <c r="A52" s="120" t="s">
        <v>55</v>
      </c>
      <c r="B52" s="19"/>
      <c r="C52" s="13">
        <v>412500</v>
      </c>
      <c r="D52" s="45" t="s">
        <v>139</v>
      </c>
      <c r="E52" s="170">
        <v>0</v>
      </c>
      <c r="F52" s="170">
        <v>0</v>
      </c>
      <c r="G52" s="161">
        <v>9000</v>
      </c>
      <c r="H52" s="341">
        <f t="shared" si="4"/>
        <v>0</v>
      </c>
      <c r="I52" s="257">
        <f t="shared" si="5"/>
        <v>0.05660377358490566</v>
      </c>
      <c r="J52" s="6"/>
    </row>
    <row r="53" spans="1:10" ht="12.75">
      <c r="A53" s="120" t="s">
        <v>55</v>
      </c>
      <c r="B53" s="19"/>
      <c r="C53" s="13">
        <v>511100</v>
      </c>
      <c r="D53" s="30" t="s">
        <v>57</v>
      </c>
      <c r="E53" s="161">
        <v>500000</v>
      </c>
      <c r="F53" s="161">
        <v>500000</v>
      </c>
      <c r="G53" s="161">
        <v>0</v>
      </c>
      <c r="H53" s="341">
        <f t="shared" si="4"/>
        <v>0</v>
      </c>
      <c r="I53" s="257">
        <f t="shared" si="5"/>
        <v>0</v>
      </c>
      <c r="J53" s="6"/>
    </row>
    <row r="54" spans="1:10" ht="24" hidden="1">
      <c r="A54" s="120" t="s">
        <v>55</v>
      </c>
      <c r="B54" s="19"/>
      <c r="C54" s="13">
        <v>511200</v>
      </c>
      <c r="D54" s="39" t="s">
        <v>162</v>
      </c>
      <c r="E54" s="170"/>
      <c r="F54" s="170"/>
      <c r="G54" s="170"/>
      <c r="H54" s="341">
        <f t="shared" si="4"/>
        <v>0</v>
      </c>
      <c r="I54" s="257">
        <f t="shared" si="5"/>
        <v>0</v>
      </c>
      <c r="J54" s="6"/>
    </row>
    <row r="55" spans="1:10" ht="12.75">
      <c r="A55" s="120" t="s">
        <v>55</v>
      </c>
      <c r="B55" s="19"/>
      <c r="C55" s="13">
        <v>511300</v>
      </c>
      <c r="D55" s="30" t="s">
        <v>2</v>
      </c>
      <c r="E55" s="170">
        <v>20000</v>
      </c>
      <c r="F55" s="170">
        <v>15500</v>
      </c>
      <c r="G55" s="161">
        <v>177000</v>
      </c>
      <c r="H55" s="341">
        <f t="shared" si="4"/>
        <v>885</v>
      </c>
      <c r="I55" s="257">
        <f t="shared" si="5"/>
        <v>1.1132075471698113</v>
      </c>
      <c r="J55" s="6"/>
    </row>
    <row r="56" spans="1:10" ht="12.75">
      <c r="A56" s="178" t="s">
        <v>55</v>
      </c>
      <c r="B56" s="19"/>
      <c r="C56" s="13">
        <v>511400</v>
      </c>
      <c r="D56" s="30" t="s">
        <v>340</v>
      </c>
      <c r="E56" s="170">
        <v>10000</v>
      </c>
      <c r="F56" s="170">
        <v>0</v>
      </c>
      <c r="G56" s="170">
        <v>5000</v>
      </c>
      <c r="H56" s="341">
        <f t="shared" si="4"/>
        <v>50</v>
      </c>
      <c r="I56" s="257">
        <f t="shared" si="5"/>
        <v>0.031446540880503145</v>
      </c>
      <c r="J56" s="6"/>
    </row>
    <row r="57" spans="1:10" ht="24">
      <c r="A57" s="178" t="s">
        <v>55</v>
      </c>
      <c r="B57" s="19"/>
      <c r="C57" s="13">
        <v>516100</v>
      </c>
      <c r="D57" s="30" t="s">
        <v>278</v>
      </c>
      <c r="E57" s="170">
        <v>0</v>
      </c>
      <c r="F57" s="170">
        <v>0</v>
      </c>
      <c r="G57" s="170">
        <v>4000</v>
      </c>
      <c r="H57" s="341">
        <f t="shared" si="4"/>
        <v>0</v>
      </c>
      <c r="I57" s="257">
        <f t="shared" si="5"/>
        <v>0.025157232704402514</v>
      </c>
      <c r="J57" s="6"/>
    </row>
    <row r="58" spans="1:10" ht="24">
      <c r="A58" s="178"/>
      <c r="B58" s="19">
        <v>516000</v>
      </c>
      <c r="C58" s="29"/>
      <c r="D58" s="28" t="s">
        <v>348</v>
      </c>
      <c r="E58" s="162">
        <f>SUM(E59)</f>
        <v>0</v>
      </c>
      <c r="F58" s="162">
        <f>SUM(F59)</f>
        <v>220</v>
      </c>
      <c r="G58" s="162">
        <f>SUM(G59)</f>
        <v>0</v>
      </c>
      <c r="H58" s="289">
        <f t="shared" si="4"/>
        <v>0</v>
      </c>
      <c r="I58" s="254">
        <f t="shared" si="5"/>
        <v>0</v>
      </c>
      <c r="J58" s="6"/>
    </row>
    <row r="59" spans="1:10" ht="24">
      <c r="A59" s="178" t="s">
        <v>55</v>
      </c>
      <c r="B59" s="29"/>
      <c r="C59" s="29">
        <v>516100</v>
      </c>
      <c r="D59" s="26" t="s">
        <v>278</v>
      </c>
      <c r="E59" s="170">
        <v>0</v>
      </c>
      <c r="F59" s="170">
        <v>220</v>
      </c>
      <c r="G59" s="170">
        <v>0</v>
      </c>
      <c r="H59" s="341">
        <f t="shared" si="4"/>
        <v>0</v>
      </c>
      <c r="I59" s="257">
        <f t="shared" si="5"/>
        <v>0</v>
      </c>
      <c r="J59" s="6"/>
    </row>
    <row r="60" spans="1:10" ht="26.25" customHeight="1">
      <c r="A60" s="550"/>
      <c r="B60" s="551"/>
      <c r="C60" s="546" t="s">
        <v>307</v>
      </c>
      <c r="D60" s="547"/>
      <c r="E60" s="60">
        <f>E41+E49+E51+E58</f>
        <v>560100</v>
      </c>
      <c r="F60" s="60">
        <f>F41+F49+F51+F58</f>
        <v>558620</v>
      </c>
      <c r="G60" s="60">
        <f>G41+G49+G51+G58</f>
        <v>217700</v>
      </c>
      <c r="H60" s="435">
        <f t="shared" si="4"/>
        <v>38.86805927512944</v>
      </c>
      <c r="I60" s="263">
        <f t="shared" si="5"/>
        <v>1.369182389937107</v>
      </c>
      <c r="J60" s="6"/>
    </row>
    <row r="61" spans="1:10" ht="12.75">
      <c r="A61" s="583"/>
      <c r="B61" s="584"/>
      <c r="C61" s="562" t="s">
        <v>585</v>
      </c>
      <c r="D61" s="563"/>
      <c r="E61" s="156"/>
      <c r="F61" s="156"/>
      <c r="G61" s="156"/>
      <c r="H61" s="156"/>
      <c r="I61" s="309"/>
      <c r="J61" s="8"/>
    </row>
    <row r="62" spans="1:10" ht="12.75">
      <c r="A62" s="585"/>
      <c r="B62" s="586"/>
      <c r="C62" s="564"/>
      <c r="D62" s="565"/>
      <c r="E62" s="511"/>
      <c r="F62" s="511"/>
      <c r="G62" s="511"/>
      <c r="H62" s="511"/>
      <c r="I62" s="512"/>
      <c r="J62" s="8"/>
    </row>
    <row r="63" spans="1:10" ht="12.75">
      <c r="A63" s="587"/>
      <c r="B63" s="588"/>
      <c r="C63" s="566"/>
      <c r="D63" s="567"/>
      <c r="E63" s="511"/>
      <c r="F63" s="511"/>
      <c r="G63" s="511"/>
      <c r="H63" s="511"/>
      <c r="I63" s="512"/>
      <c r="J63" s="8"/>
    </row>
    <row r="64" spans="1:10" ht="12.75">
      <c r="A64" s="120"/>
      <c r="B64" s="513" t="s">
        <v>422</v>
      </c>
      <c r="C64" s="510"/>
      <c r="D64" s="514" t="s">
        <v>134</v>
      </c>
      <c r="E64" s="162">
        <f>SUM(E65:E66)</f>
        <v>0</v>
      </c>
      <c r="F64" s="162">
        <f>SUM(F65:F66)</f>
        <v>0</v>
      </c>
      <c r="G64" s="162">
        <f>SUM(G65:G66)</f>
        <v>4000</v>
      </c>
      <c r="H64" s="162">
        <f aca="true" t="shared" si="6" ref="H64:H71">IF(E64&gt;0,G64/E64*100,0)</f>
        <v>0</v>
      </c>
      <c r="I64" s="253">
        <f aca="true" t="shared" si="7" ref="I64:I71">G64/$G$534*100</f>
        <v>0.025157232704402514</v>
      </c>
      <c r="J64" s="8"/>
    </row>
    <row r="65" spans="1:10" ht="12.75">
      <c r="A65" s="120" t="s">
        <v>55</v>
      </c>
      <c r="B65" s="19"/>
      <c r="C65" s="33">
        <v>412900</v>
      </c>
      <c r="D65" s="26" t="s">
        <v>312</v>
      </c>
      <c r="E65" s="256">
        <v>0</v>
      </c>
      <c r="F65" s="256">
        <v>0</v>
      </c>
      <c r="G65" s="256">
        <v>2000</v>
      </c>
      <c r="H65" s="341">
        <f t="shared" si="6"/>
        <v>0</v>
      </c>
      <c r="I65" s="227">
        <f t="shared" si="7"/>
        <v>0.012578616352201257</v>
      </c>
      <c r="J65" s="8"/>
    </row>
    <row r="66" spans="1:10" ht="24">
      <c r="A66" s="120" t="s">
        <v>55</v>
      </c>
      <c r="B66" s="19"/>
      <c r="C66" s="33">
        <v>412900</v>
      </c>
      <c r="D66" s="26" t="s">
        <v>359</v>
      </c>
      <c r="E66" s="256">
        <v>0</v>
      </c>
      <c r="F66" s="256">
        <v>0</v>
      </c>
      <c r="G66" s="256">
        <v>2000</v>
      </c>
      <c r="H66" s="341">
        <f t="shared" si="6"/>
        <v>0</v>
      </c>
      <c r="I66" s="227">
        <f t="shared" si="7"/>
        <v>0.012578616352201257</v>
      </c>
      <c r="J66" s="8"/>
    </row>
    <row r="67" spans="1:10" ht="12.75">
      <c r="A67" s="120"/>
      <c r="B67" s="19">
        <v>416000</v>
      </c>
      <c r="C67" s="33"/>
      <c r="D67" s="50" t="s">
        <v>1</v>
      </c>
      <c r="E67" s="162">
        <f>SUM(E68)</f>
        <v>0</v>
      </c>
      <c r="F67" s="162">
        <f>SUM(F68)</f>
        <v>0</v>
      </c>
      <c r="G67" s="162">
        <f>SUM(G68)</f>
        <v>10000</v>
      </c>
      <c r="H67" s="162">
        <f t="shared" si="6"/>
        <v>0</v>
      </c>
      <c r="I67" s="253">
        <f t="shared" si="7"/>
        <v>0.06289308176100629</v>
      </c>
      <c r="J67" s="8"/>
    </row>
    <row r="68" spans="1:10" ht="12.75">
      <c r="A68" s="120" t="s">
        <v>55</v>
      </c>
      <c r="B68" s="19"/>
      <c r="C68" s="33">
        <v>416100</v>
      </c>
      <c r="D68" s="26" t="s">
        <v>214</v>
      </c>
      <c r="E68" s="256">
        <v>0</v>
      </c>
      <c r="F68" s="256">
        <v>0</v>
      </c>
      <c r="G68" s="211">
        <v>10000</v>
      </c>
      <c r="H68" s="341">
        <f t="shared" si="6"/>
        <v>0</v>
      </c>
      <c r="I68" s="227">
        <f t="shared" si="7"/>
        <v>0.06289308176100629</v>
      </c>
      <c r="J68" s="8"/>
    </row>
    <row r="69" spans="1:10" ht="12.75">
      <c r="A69" s="120"/>
      <c r="B69" s="19">
        <v>511000</v>
      </c>
      <c r="C69" s="33"/>
      <c r="D69" s="50" t="s">
        <v>152</v>
      </c>
      <c r="E69" s="162">
        <f>SUM(E70)</f>
        <v>0</v>
      </c>
      <c r="F69" s="162">
        <f>SUM(F70)</f>
        <v>0</v>
      </c>
      <c r="G69" s="162">
        <f>SUM(G70)</f>
        <v>4000</v>
      </c>
      <c r="H69" s="162">
        <f t="shared" si="6"/>
        <v>0</v>
      </c>
      <c r="I69" s="253">
        <f t="shared" si="7"/>
        <v>0.025157232704402514</v>
      </c>
      <c r="J69" s="8"/>
    </row>
    <row r="70" spans="1:10" ht="12.75">
      <c r="A70" s="120" t="s">
        <v>55</v>
      </c>
      <c r="B70" s="19"/>
      <c r="C70" s="33">
        <v>511300</v>
      </c>
      <c r="D70" s="26" t="s">
        <v>313</v>
      </c>
      <c r="E70" s="256">
        <v>0</v>
      </c>
      <c r="F70" s="256">
        <v>0</v>
      </c>
      <c r="G70" s="256">
        <v>4000</v>
      </c>
      <c r="H70" s="341">
        <f t="shared" si="6"/>
        <v>0</v>
      </c>
      <c r="I70" s="227">
        <f t="shared" si="7"/>
        <v>0.025157232704402514</v>
      </c>
      <c r="J70" s="8"/>
    </row>
    <row r="71" spans="1:10" ht="25.5" customHeight="1">
      <c r="A71" s="550"/>
      <c r="B71" s="551"/>
      <c r="C71" s="546" t="s">
        <v>586</v>
      </c>
      <c r="D71" s="546"/>
      <c r="E71" s="60">
        <f>E64+E67+E69</f>
        <v>0</v>
      </c>
      <c r="F71" s="60">
        <f>F64+F67+F69</f>
        <v>0</v>
      </c>
      <c r="G71" s="60">
        <f>G64+G67+G69</f>
        <v>18000</v>
      </c>
      <c r="H71" s="435">
        <f t="shared" si="6"/>
        <v>0</v>
      </c>
      <c r="I71" s="263">
        <f t="shared" si="7"/>
        <v>0.11320754716981132</v>
      </c>
      <c r="J71" s="8"/>
    </row>
    <row r="72" spans="1:10" ht="9.75" customHeight="1">
      <c r="A72" s="550"/>
      <c r="B72" s="551"/>
      <c r="C72" s="544" t="s">
        <v>115</v>
      </c>
      <c r="D72" s="545"/>
      <c r="E72" s="152"/>
      <c r="F72" s="152"/>
      <c r="G72" s="152"/>
      <c r="H72" s="152"/>
      <c r="I72" s="303"/>
      <c r="J72" s="6"/>
    </row>
    <row r="73" spans="1:10" ht="9.75" customHeight="1">
      <c r="A73" s="550"/>
      <c r="B73" s="551"/>
      <c r="C73" s="544"/>
      <c r="D73" s="545"/>
      <c r="E73" s="153"/>
      <c r="F73" s="153"/>
      <c r="G73" s="153"/>
      <c r="H73" s="153"/>
      <c r="I73" s="304"/>
      <c r="J73" s="6"/>
    </row>
    <row r="74" spans="1:10" ht="19.5" customHeight="1">
      <c r="A74" s="550"/>
      <c r="B74" s="551"/>
      <c r="C74" s="544"/>
      <c r="D74" s="545"/>
      <c r="E74" s="154"/>
      <c r="F74" s="154"/>
      <c r="G74" s="154"/>
      <c r="H74" s="154"/>
      <c r="I74" s="305"/>
      <c r="J74" s="6"/>
    </row>
    <row r="75" spans="1:10" ht="14.25" customHeight="1">
      <c r="A75" s="120"/>
      <c r="B75" s="19">
        <v>412000</v>
      </c>
      <c r="C75" s="27"/>
      <c r="D75" s="28" t="s">
        <v>134</v>
      </c>
      <c r="E75" s="289">
        <f>SUM(E76:E79)</f>
        <v>26900</v>
      </c>
      <c r="F75" s="289">
        <f>SUM(F76:F79)</f>
        <v>26880</v>
      </c>
      <c r="G75" s="289">
        <f>SUM(G76:G79)</f>
        <v>26900</v>
      </c>
      <c r="H75" s="289">
        <f aca="true" t="shared" si="8" ref="H75:H85">IF(E75&gt;0,G75/E75*100,0)</f>
        <v>100</v>
      </c>
      <c r="I75" s="288">
        <f aca="true" t="shared" si="9" ref="I75:I85">G75/$G$534*100</f>
        <v>0.16918238993710694</v>
      </c>
      <c r="J75" s="6"/>
    </row>
    <row r="76" spans="1:10" ht="12.75" customHeight="1">
      <c r="A76" s="120" t="s">
        <v>24</v>
      </c>
      <c r="B76" s="29"/>
      <c r="C76" s="13">
        <v>412700</v>
      </c>
      <c r="D76" s="29" t="s">
        <v>158</v>
      </c>
      <c r="E76" s="170">
        <v>2500</v>
      </c>
      <c r="F76" s="170">
        <v>2500</v>
      </c>
      <c r="G76" s="170">
        <v>2500</v>
      </c>
      <c r="H76" s="341">
        <f t="shared" si="8"/>
        <v>100</v>
      </c>
      <c r="I76" s="227">
        <f t="shared" si="9"/>
        <v>0.015723270440251572</v>
      </c>
      <c r="J76" s="6"/>
    </row>
    <row r="77" spans="1:10" ht="12.75" customHeight="1">
      <c r="A77" s="120" t="s">
        <v>33</v>
      </c>
      <c r="B77" s="29"/>
      <c r="C77" s="13">
        <v>412700</v>
      </c>
      <c r="D77" s="29" t="s">
        <v>109</v>
      </c>
      <c r="E77" s="170">
        <v>12500</v>
      </c>
      <c r="F77" s="170">
        <v>12500</v>
      </c>
      <c r="G77" s="170">
        <v>12500</v>
      </c>
      <c r="H77" s="341">
        <f t="shared" si="8"/>
        <v>100</v>
      </c>
      <c r="I77" s="227">
        <f t="shared" si="9"/>
        <v>0.07861635220125787</v>
      </c>
      <c r="J77" s="6"/>
    </row>
    <row r="78" spans="1:10" ht="12.75" customHeight="1">
      <c r="A78" s="120" t="s">
        <v>24</v>
      </c>
      <c r="B78" s="29"/>
      <c r="C78" s="13">
        <v>412900</v>
      </c>
      <c r="D78" s="26" t="s">
        <v>0</v>
      </c>
      <c r="E78" s="170">
        <v>400</v>
      </c>
      <c r="F78" s="170">
        <v>380</v>
      </c>
      <c r="G78" s="170">
        <v>400</v>
      </c>
      <c r="H78" s="341">
        <f t="shared" si="8"/>
        <v>100</v>
      </c>
      <c r="I78" s="227">
        <f t="shared" si="9"/>
        <v>0.002515723270440252</v>
      </c>
      <c r="J78" s="6"/>
    </row>
    <row r="79" spans="1:10" ht="12.75" customHeight="1">
      <c r="A79" s="120" t="s">
        <v>24</v>
      </c>
      <c r="B79" s="29"/>
      <c r="C79" s="13">
        <v>412900</v>
      </c>
      <c r="D79" s="30" t="s">
        <v>198</v>
      </c>
      <c r="E79" s="170">
        <v>11500</v>
      </c>
      <c r="F79" s="170">
        <v>11500</v>
      </c>
      <c r="G79" s="170">
        <v>11500</v>
      </c>
      <c r="H79" s="341">
        <f t="shared" si="8"/>
        <v>100</v>
      </c>
      <c r="I79" s="227">
        <f t="shared" si="9"/>
        <v>0.07232704402515723</v>
      </c>
      <c r="J79" s="6"/>
    </row>
    <row r="80" spans="1:10" ht="14.25" customHeight="1">
      <c r="A80" s="120"/>
      <c r="B80" s="29"/>
      <c r="C80" s="13"/>
      <c r="D80" s="42" t="s">
        <v>132</v>
      </c>
      <c r="E80" s="162">
        <f>SUM(E81:E84)</f>
        <v>18000</v>
      </c>
      <c r="F80" s="162">
        <f>SUM(F81:F84)</f>
        <v>16750</v>
      </c>
      <c r="G80" s="162">
        <f>SUM(G81:G84)</f>
        <v>18000</v>
      </c>
      <c r="H80" s="289">
        <f t="shared" si="8"/>
        <v>100</v>
      </c>
      <c r="I80" s="253">
        <f t="shared" si="9"/>
        <v>0.11320754716981132</v>
      </c>
      <c r="J80" s="6"/>
    </row>
    <row r="81" spans="1:10" ht="14.25" customHeight="1">
      <c r="A81" s="120" t="s">
        <v>36</v>
      </c>
      <c r="B81" s="29"/>
      <c r="C81" s="13">
        <v>412300</v>
      </c>
      <c r="D81" s="30" t="s">
        <v>266</v>
      </c>
      <c r="E81" s="170">
        <v>1000</v>
      </c>
      <c r="F81" s="170">
        <v>750</v>
      </c>
      <c r="G81" s="170">
        <v>1000</v>
      </c>
      <c r="H81" s="341">
        <f t="shared" si="8"/>
        <v>100</v>
      </c>
      <c r="I81" s="227">
        <f t="shared" si="9"/>
        <v>0.006289308176100628</v>
      </c>
      <c r="J81" s="6"/>
    </row>
    <row r="82" spans="1:10" ht="12.75" customHeight="1">
      <c r="A82" s="36" t="s">
        <v>36</v>
      </c>
      <c r="B82" s="43"/>
      <c r="C82" s="34">
        <v>412500</v>
      </c>
      <c r="D82" s="30" t="s">
        <v>251</v>
      </c>
      <c r="E82" s="170">
        <v>12000</v>
      </c>
      <c r="F82" s="170">
        <v>12000</v>
      </c>
      <c r="G82" s="170">
        <v>12000</v>
      </c>
      <c r="H82" s="341">
        <f t="shared" si="8"/>
        <v>100</v>
      </c>
      <c r="I82" s="227">
        <f t="shared" si="9"/>
        <v>0.07547169811320754</v>
      </c>
      <c r="J82" s="8"/>
    </row>
    <row r="83" spans="1:10" ht="24">
      <c r="A83" s="120" t="s">
        <v>36</v>
      </c>
      <c r="B83" s="29"/>
      <c r="C83" s="13">
        <v>412900</v>
      </c>
      <c r="D83" s="30" t="s">
        <v>252</v>
      </c>
      <c r="E83" s="170">
        <v>5000</v>
      </c>
      <c r="F83" s="170">
        <v>4000</v>
      </c>
      <c r="G83" s="170">
        <v>5000</v>
      </c>
      <c r="H83" s="341">
        <f t="shared" si="8"/>
        <v>100</v>
      </c>
      <c r="I83" s="227">
        <f t="shared" si="9"/>
        <v>0.031446540880503145</v>
      </c>
      <c r="J83" s="6"/>
    </row>
    <row r="84" spans="1:10" ht="12.75" hidden="1">
      <c r="A84" s="120" t="s">
        <v>36</v>
      </c>
      <c r="B84" s="29"/>
      <c r="C84" s="13">
        <v>412900</v>
      </c>
      <c r="D84" s="30" t="s">
        <v>491</v>
      </c>
      <c r="E84" s="170">
        <v>0</v>
      </c>
      <c r="F84" s="170">
        <v>0</v>
      </c>
      <c r="G84" s="170">
        <v>0</v>
      </c>
      <c r="H84" s="341">
        <f t="shared" si="8"/>
        <v>0</v>
      </c>
      <c r="I84" s="227">
        <f t="shared" si="9"/>
        <v>0</v>
      </c>
      <c r="J84" s="6"/>
    </row>
    <row r="85" spans="1:10" ht="27.75" customHeight="1">
      <c r="A85" s="568"/>
      <c r="B85" s="569"/>
      <c r="C85" s="546" t="s">
        <v>82</v>
      </c>
      <c r="D85" s="547"/>
      <c r="E85" s="60">
        <f>E75+E80</f>
        <v>44900</v>
      </c>
      <c r="F85" s="60">
        <f>F75+F80</f>
        <v>43630</v>
      </c>
      <c r="G85" s="60">
        <f>G75+G80</f>
        <v>44900</v>
      </c>
      <c r="H85" s="435">
        <f t="shared" si="8"/>
        <v>100</v>
      </c>
      <c r="I85" s="262">
        <f t="shared" si="9"/>
        <v>0.28238993710691823</v>
      </c>
      <c r="J85" s="6"/>
    </row>
    <row r="86" spans="1:10" ht="9.75" customHeight="1">
      <c r="A86" s="550"/>
      <c r="B86" s="551"/>
      <c r="C86" s="544" t="s">
        <v>116</v>
      </c>
      <c r="D86" s="545"/>
      <c r="E86" s="152"/>
      <c r="F86" s="152"/>
      <c r="G86" s="152"/>
      <c r="H86" s="152"/>
      <c r="I86" s="303"/>
      <c r="J86" s="6"/>
    </row>
    <row r="87" spans="1:10" ht="9.75" customHeight="1">
      <c r="A87" s="550"/>
      <c r="B87" s="551"/>
      <c r="C87" s="544"/>
      <c r="D87" s="545"/>
      <c r="E87" s="153"/>
      <c r="F87" s="153"/>
      <c r="G87" s="153"/>
      <c r="H87" s="153"/>
      <c r="I87" s="304"/>
      <c r="J87" s="6"/>
    </row>
    <row r="88" spans="1:10" ht="19.5" customHeight="1">
      <c r="A88" s="550"/>
      <c r="B88" s="551"/>
      <c r="C88" s="544"/>
      <c r="D88" s="545"/>
      <c r="E88" s="154"/>
      <c r="F88" s="154"/>
      <c r="G88" s="154"/>
      <c r="H88" s="154"/>
      <c r="I88" s="305"/>
      <c r="J88" s="6"/>
    </row>
    <row r="89" spans="1:10" ht="24" customHeight="1">
      <c r="A89" s="120"/>
      <c r="B89" s="19">
        <v>411000</v>
      </c>
      <c r="C89" s="20"/>
      <c r="D89" s="22" t="s">
        <v>304</v>
      </c>
      <c r="E89" s="287">
        <f>SUM(E90:E93)</f>
        <v>3080000</v>
      </c>
      <c r="F89" s="287">
        <f>SUM(F90:F93)</f>
        <v>3279000</v>
      </c>
      <c r="G89" s="287">
        <f>SUM(G90:G93)</f>
        <v>3455000</v>
      </c>
      <c r="H89" s="289">
        <f aca="true" t="shared" si="10" ref="H89:H103">IF(E89&gt;0,G89/E89*100,0)</f>
        <v>112.17532467532467</v>
      </c>
      <c r="I89" s="288">
        <f aca="true" t="shared" si="11" ref="I89:I103">G89/$G$534*100</f>
        <v>21.729559748427675</v>
      </c>
      <c r="J89" s="6"/>
    </row>
    <row r="90" spans="1:10" ht="12.75" customHeight="1">
      <c r="A90" s="120" t="s">
        <v>24</v>
      </c>
      <c r="B90" s="29"/>
      <c r="C90" s="13">
        <v>411100</v>
      </c>
      <c r="D90" s="23" t="s">
        <v>380</v>
      </c>
      <c r="E90" s="161">
        <v>2397000</v>
      </c>
      <c r="F90" s="161">
        <v>2590000</v>
      </c>
      <c r="G90" s="161">
        <v>2755000</v>
      </c>
      <c r="H90" s="341">
        <f t="shared" si="10"/>
        <v>114.93533583646224</v>
      </c>
      <c r="I90" s="227">
        <f t="shared" si="11"/>
        <v>17.32704402515723</v>
      </c>
      <c r="J90" s="6"/>
    </row>
    <row r="91" spans="1:10" ht="26.25" customHeight="1">
      <c r="A91" s="120" t="s">
        <v>24</v>
      </c>
      <c r="B91" s="29"/>
      <c r="C91" s="13">
        <v>411200</v>
      </c>
      <c r="D91" s="23" t="s">
        <v>385</v>
      </c>
      <c r="E91" s="170">
        <v>530000</v>
      </c>
      <c r="F91" s="161">
        <v>594000</v>
      </c>
      <c r="G91" s="161">
        <v>603000</v>
      </c>
      <c r="H91" s="341">
        <f t="shared" si="10"/>
        <v>113.77358490566039</v>
      </c>
      <c r="I91" s="227">
        <f t="shared" si="11"/>
        <v>3.792452830188679</v>
      </c>
      <c r="J91" s="6"/>
    </row>
    <row r="92" spans="1:10" ht="24">
      <c r="A92" s="120" t="s">
        <v>24</v>
      </c>
      <c r="B92" s="29"/>
      <c r="C92" s="13">
        <v>411300</v>
      </c>
      <c r="D92" s="23" t="s">
        <v>494</v>
      </c>
      <c r="E92" s="170">
        <v>33000</v>
      </c>
      <c r="F92" s="161">
        <v>71000</v>
      </c>
      <c r="G92" s="161">
        <v>65000</v>
      </c>
      <c r="H92" s="341">
        <f t="shared" si="10"/>
        <v>196.96969696969697</v>
      </c>
      <c r="I92" s="227">
        <f t="shared" si="11"/>
        <v>0.4088050314465409</v>
      </c>
      <c r="J92" s="6"/>
    </row>
    <row r="93" spans="1:10" ht="12.75" customHeight="1">
      <c r="A93" s="120" t="s">
        <v>24</v>
      </c>
      <c r="B93" s="29"/>
      <c r="C93" s="13">
        <v>411400</v>
      </c>
      <c r="D93" s="25" t="s">
        <v>381</v>
      </c>
      <c r="E93" s="170">
        <v>120000</v>
      </c>
      <c r="F93" s="161">
        <v>24000</v>
      </c>
      <c r="G93" s="161">
        <v>32000</v>
      </c>
      <c r="H93" s="341">
        <f t="shared" si="10"/>
        <v>26.666666666666668</v>
      </c>
      <c r="I93" s="227">
        <f t="shared" si="11"/>
        <v>0.2012578616352201</v>
      </c>
      <c r="J93" s="6"/>
    </row>
    <row r="94" spans="1:10" ht="14.25" customHeight="1">
      <c r="A94" s="120"/>
      <c r="B94" s="19">
        <v>412000</v>
      </c>
      <c r="C94" s="13"/>
      <c r="D94" s="28" t="s">
        <v>134</v>
      </c>
      <c r="E94" s="162">
        <f>SUM(E95:E98)</f>
        <v>16900</v>
      </c>
      <c r="F94" s="162">
        <f>SUM(F95:F98)</f>
        <v>7959</v>
      </c>
      <c r="G94" s="162">
        <f>SUM(G95:G98)</f>
        <v>10700</v>
      </c>
      <c r="H94" s="289">
        <f t="shared" si="10"/>
        <v>63.31360946745562</v>
      </c>
      <c r="I94" s="253">
        <f t="shared" si="11"/>
        <v>0.06729559748427673</v>
      </c>
      <c r="J94" s="6"/>
    </row>
    <row r="95" spans="1:10" ht="12.75" customHeight="1">
      <c r="A95" s="120" t="s">
        <v>24</v>
      </c>
      <c r="B95" s="29"/>
      <c r="C95" s="13">
        <v>412700</v>
      </c>
      <c r="D95" s="29" t="s">
        <v>110</v>
      </c>
      <c r="E95" s="170">
        <v>6400</v>
      </c>
      <c r="F95" s="170">
        <v>6400</v>
      </c>
      <c r="G95" s="170">
        <v>7300</v>
      </c>
      <c r="H95" s="341">
        <f t="shared" si="10"/>
        <v>114.0625</v>
      </c>
      <c r="I95" s="227">
        <f t="shared" si="11"/>
        <v>0.04591194968553459</v>
      </c>
      <c r="J95" s="6"/>
    </row>
    <row r="96" spans="1:10" ht="12.75">
      <c r="A96" s="120" t="s">
        <v>24</v>
      </c>
      <c r="B96" s="29"/>
      <c r="C96" s="13">
        <v>412700</v>
      </c>
      <c r="D96" s="26" t="s">
        <v>160</v>
      </c>
      <c r="E96" s="170">
        <v>7100</v>
      </c>
      <c r="F96" s="170">
        <v>0</v>
      </c>
      <c r="G96" s="170">
        <v>0</v>
      </c>
      <c r="H96" s="341">
        <f t="shared" si="10"/>
        <v>0</v>
      </c>
      <c r="I96" s="227">
        <f t="shared" si="11"/>
        <v>0</v>
      </c>
      <c r="J96" s="6"/>
    </row>
    <row r="97" spans="1:10" ht="12.75" customHeight="1">
      <c r="A97" s="120" t="s">
        <v>24</v>
      </c>
      <c r="B97" s="29"/>
      <c r="C97" s="13">
        <v>412900</v>
      </c>
      <c r="D97" s="26" t="s">
        <v>0</v>
      </c>
      <c r="E97" s="170">
        <v>400</v>
      </c>
      <c r="F97" s="170">
        <v>350</v>
      </c>
      <c r="G97" s="170">
        <v>400</v>
      </c>
      <c r="H97" s="341">
        <f t="shared" si="10"/>
        <v>100</v>
      </c>
      <c r="I97" s="227">
        <f t="shared" si="11"/>
        <v>0.002515723270440252</v>
      </c>
      <c r="J97" s="6"/>
    </row>
    <row r="98" spans="1:10" ht="12.75" customHeight="1">
      <c r="A98" s="120" t="s">
        <v>24</v>
      </c>
      <c r="B98" s="29"/>
      <c r="C98" s="13">
        <v>412900</v>
      </c>
      <c r="D98" s="26" t="s">
        <v>159</v>
      </c>
      <c r="E98" s="170">
        <v>3000</v>
      </c>
      <c r="F98" s="170">
        <v>1209</v>
      </c>
      <c r="G98" s="170">
        <v>3000</v>
      </c>
      <c r="H98" s="341">
        <f t="shared" si="10"/>
        <v>100</v>
      </c>
      <c r="I98" s="227">
        <f t="shared" si="11"/>
        <v>0.018867924528301886</v>
      </c>
      <c r="J98" s="6"/>
    </row>
    <row r="99" spans="1:10" ht="12.75" customHeight="1">
      <c r="A99" s="120"/>
      <c r="B99" s="64">
        <v>418000</v>
      </c>
      <c r="C99" s="13"/>
      <c r="D99" s="50" t="s">
        <v>497</v>
      </c>
      <c r="E99" s="162">
        <f>SUM(E100)</f>
        <v>0</v>
      </c>
      <c r="F99" s="162">
        <f>SUM(F100)</f>
        <v>7055</v>
      </c>
      <c r="G99" s="162">
        <f>SUM(G100)</f>
        <v>8000</v>
      </c>
      <c r="H99" s="289">
        <f t="shared" si="10"/>
        <v>0</v>
      </c>
      <c r="I99" s="253">
        <f t="shared" si="11"/>
        <v>0.05031446540880503</v>
      </c>
      <c r="J99" s="6"/>
    </row>
    <row r="100" spans="1:10" ht="16.5" customHeight="1">
      <c r="A100" s="120" t="s">
        <v>24</v>
      </c>
      <c r="B100" s="29"/>
      <c r="C100" s="13">
        <v>418200</v>
      </c>
      <c r="D100" s="26" t="s">
        <v>160</v>
      </c>
      <c r="E100" s="170">
        <v>0</v>
      </c>
      <c r="F100" s="170">
        <v>7055</v>
      </c>
      <c r="G100" s="161">
        <v>8000</v>
      </c>
      <c r="H100" s="341">
        <f t="shared" si="10"/>
        <v>0</v>
      </c>
      <c r="I100" s="227">
        <f t="shared" si="11"/>
        <v>0.05031446540880503</v>
      </c>
      <c r="J100" s="6"/>
    </row>
    <row r="101" spans="1:10" ht="24">
      <c r="A101" s="178"/>
      <c r="B101" s="19">
        <v>638000</v>
      </c>
      <c r="C101" s="13"/>
      <c r="D101" s="28" t="s">
        <v>382</v>
      </c>
      <c r="E101" s="162">
        <f>SUM(E102)</f>
        <v>55000</v>
      </c>
      <c r="F101" s="162">
        <f>SUM(F102)</f>
        <v>75000</v>
      </c>
      <c r="G101" s="162">
        <f>SUM(G102)</f>
        <v>88000</v>
      </c>
      <c r="H101" s="289">
        <f t="shared" si="10"/>
        <v>160</v>
      </c>
      <c r="I101" s="253">
        <f t="shared" si="11"/>
        <v>0.5534591194968553</v>
      </c>
      <c r="J101" s="6"/>
    </row>
    <row r="102" spans="1:10" ht="36">
      <c r="A102" s="120"/>
      <c r="B102" s="29"/>
      <c r="C102" s="13">
        <v>638100</v>
      </c>
      <c r="D102" s="26" t="s">
        <v>383</v>
      </c>
      <c r="E102" s="170">
        <v>55000</v>
      </c>
      <c r="F102" s="161">
        <v>75000</v>
      </c>
      <c r="G102" s="161">
        <v>88000</v>
      </c>
      <c r="H102" s="341">
        <f t="shared" si="10"/>
        <v>160</v>
      </c>
      <c r="I102" s="227">
        <f t="shared" si="11"/>
        <v>0.5534591194968553</v>
      </c>
      <c r="J102" s="6"/>
    </row>
    <row r="103" spans="1:10" ht="30" customHeight="1">
      <c r="A103" s="550"/>
      <c r="B103" s="551"/>
      <c r="C103" s="546" t="s">
        <v>79</v>
      </c>
      <c r="D103" s="547"/>
      <c r="E103" s="60">
        <f>E89+E94+E99+E101</f>
        <v>3151900</v>
      </c>
      <c r="F103" s="60">
        <f>F89+F94+F99+F101</f>
        <v>3369014</v>
      </c>
      <c r="G103" s="60">
        <f>G89+G94+G99+G101</f>
        <v>3561700</v>
      </c>
      <c r="H103" s="435">
        <f t="shared" si="10"/>
        <v>113.0016815254291</v>
      </c>
      <c r="I103" s="262">
        <f t="shared" si="11"/>
        <v>22.40062893081761</v>
      </c>
      <c r="J103" s="51"/>
    </row>
    <row r="104" spans="1:10" ht="9.75" customHeight="1">
      <c r="A104" s="542"/>
      <c r="B104" s="543"/>
      <c r="C104" s="544" t="s">
        <v>117</v>
      </c>
      <c r="D104" s="545"/>
      <c r="E104" s="152"/>
      <c r="F104" s="152"/>
      <c r="G104" s="152"/>
      <c r="H104" s="152"/>
      <c r="I104" s="303"/>
      <c r="J104" s="51"/>
    </row>
    <row r="105" spans="1:10" ht="9.75" customHeight="1">
      <c r="A105" s="542"/>
      <c r="B105" s="543"/>
      <c r="C105" s="544"/>
      <c r="D105" s="545"/>
      <c r="E105" s="153"/>
      <c r="F105" s="153"/>
      <c r="G105" s="51"/>
      <c r="H105" s="153"/>
      <c r="I105" s="304"/>
      <c r="J105" s="51"/>
    </row>
    <row r="106" spans="1:10" ht="9.75" customHeight="1">
      <c r="A106" s="542"/>
      <c r="B106" s="543"/>
      <c r="C106" s="544"/>
      <c r="D106" s="545"/>
      <c r="E106" s="153"/>
      <c r="F106" s="153"/>
      <c r="G106" s="153"/>
      <c r="H106" s="153"/>
      <c r="I106" s="304"/>
      <c r="J106" s="51"/>
    </row>
    <row r="107" spans="1:10" ht="19.5" customHeight="1">
      <c r="A107" s="542"/>
      <c r="B107" s="543"/>
      <c r="C107" s="544"/>
      <c r="D107" s="545"/>
      <c r="E107" s="154"/>
      <c r="F107" s="154"/>
      <c r="G107" s="154"/>
      <c r="H107" s="154"/>
      <c r="I107" s="305"/>
      <c r="J107" s="51"/>
    </row>
    <row r="108" spans="1:10" ht="14.25" customHeight="1">
      <c r="A108" s="120"/>
      <c r="B108" s="19">
        <v>412000</v>
      </c>
      <c r="C108" s="13"/>
      <c r="D108" s="28" t="s">
        <v>134</v>
      </c>
      <c r="E108" s="289">
        <f>SUM(E109:E112)</f>
        <v>65400</v>
      </c>
      <c r="F108" s="289">
        <f>SUM(F109:F112)</f>
        <v>60400</v>
      </c>
      <c r="G108" s="289">
        <f>SUM(G109:G112)</f>
        <v>73400</v>
      </c>
      <c r="H108" s="289">
        <f aca="true" t="shared" si="12" ref="H108:H166">IF(E108&gt;0,G108/E108*100,0)</f>
        <v>112.23241590214069</v>
      </c>
      <c r="I108" s="288">
        <f aca="true" t="shared" si="13" ref="I108:I149">G108/$G$534*100</f>
        <v>0.46163522012578617</v>
      </c>
      <c r="J108" s="51"/>
    </row>
    <row r="109" spans="1:10" ht="13.5" customHeight="1">
      <c r="A109" s="120" t="s">
        <v>24</v>
      </c>
      <c r="B109" s="27"/>
      <c r="C109" s="29">
        <v>412700</v>
      </c>
      <c r="D109" s="26" t="s">
        <v>99</v>
      </c>
      <c r="E109" s="170">
        <v>60000</v>
      </c>
      <c r="F109" s="170">
        <v>60000</v>
      </c>
      <c r="G109" s="161">
        <v>70000</v>
      </c>
      <c r="H109" s="341">
        <f t="shared" si="12"/>
        <v>116.66666666666667</v>
      </c>
      <c r="I109" s="227">
        <f t="shared" si="13"/>
        <v>0.44025157232704404</v>
      </c>
      <c r="J109" s="6"/>
    </row>
    <row r="110" spans="1:10" ht="24">
      <c r="A110" s="120" t="s">
        <v>33</v>
      </c>
      <c r="B110" s="27"/>
      <c r="C110" s="29">
        <v>412700</v>
      </c>
      <c r="D110" s="26" t="s">
        <v>512</v>
      </c>
      <c r="E110" s="170">
        <v>5000</v>
      </c>
      <c r="F110" s="170">
        <v>0</v>
      </c>
      <c r="G110" s="170">
        <v>3000</v>
      </c>
      <c r="H110" s="341">
        <f t="shared" si="12"/>
        <v>60</v>
      </c>
      <c r="I110" s="227">
        <f t="shared" si="13"/>
        <v>0.018867924528301886</v>
      </c>
      <c r="J110" s="6"/>
    </row>
    <row r="111" spans="1:10" ht="12.75" hidden="1">
      <c r="A111" s="120" t="s">
        <v>24</v>
      </c>
      <c r="B111" s="27"/>
      <c r="C111" s="29">
        <v>412700</v>
      </c>
      <c r="D111" s="26" t="s">
        <v>594</v>
      </c>
      <c r="E111" s="170">
        <v>0</v>
      </c>
      <c r="F111" s="170">
        <v>0</v>
      </c>
      <c r="G111" s="161">
        <v>0</v>
      </c>
      <c r="H111" s="341">
        <f t="shared" si="12"/>
        <v>0</v>
      </c>
      <c r="I111" s="227">
        <f t="shared" si="13"/>
        <v>0</v>
      </c>
      <c r="J111" s="6"/>
    </row>
    <row r="112" spans="1:10" ht="12.75" customHeight="1">
      <c r="A112" s="120" t="s">
        <v>24</v>
      </c>
      <c r="B112" s="29"/>
      <c r="C112" s="13">
        <v>412900</v>
      </c>
      <c r="D112" s="26" t="s">
        <v>25</v>
      </c>
      <c r="E112" s="170">
        <v>400</v>
      </c>
      <c r="F112" s="170">
        <v>400</v>
      </c>
      <c r="G112" s="170">
        <v>400</v>
      </c>
      <c r="H112" s="341">
        <f t="shared" si="12"/>
        <v>100</v>
      </c>
      <c r="I112" s="227">
        <f t="shared" si="13"/>
        <v>0.002515723270440252</v>
      </c>
      <c r="J112" s="6"/>
    </row>
    <row r="113" spans="1:10" ht="12.75" customHeight="1">
      <c r="A113" s="120"/>
      <c r="B113" s="64">
        <v>414000</v>
      </c>
      <c r="C113" s="13"/>
      <c r="D113" s="50" t="s">
        <v>189</v>
      </c>
      <c r="E113" s="289">
        <f>SUM(E114:E116)</f>
        <v>45000</v>
      </c>
      <c r="F113" s="289">
        <f>SUM(F114:F116)</f>
        <v>68220</v>
      </c>
      <c r="G113" s="289">
        <f>SUM(G114:G118)</f>
        <v>74700</v>
      </c>
      <c r="H113" s="289">
        <f t="shared" si="12"/>
        <v>166</v>
      </c>
      <c r="I113" s="288">
        <f t="shared" si="13"/>
        <v>0.469811320754717</v>
      </c>
      <c r="J113" s="6"/>
    </row>
    <row r="114" spans="1:10" ht="23.25" customHeight="1">
      <c r="A114" s="120" t="s">
        <v>29</v>
      </c>
      <c r="B114" s="29"/>
      <c r="C114" s="13">
        <v>414100</v>
      </c>
      <c r="D114" s="26" t="s">
        <v>495</v>
      </c>
      <c r="E114" s="170">
        <v>5000</v>
      </c>
      <c r="F114" s="170">
        <v>2500</v>
      </c>
      <c r="G114" s="170">
        <v>1500</v>
      </c>
      <c r="H114" s="341">
        <f t="shared" si="12"/>
        <v>30</v>
      </c>
      <c r="I114" s="227">
        <f t="shared" si="13"/>
        <v>0.009433962264150943</v>
      </c>
      <c r="J114" s="6"/>
    </row>
    <row r="115" spans="1:10" ht="13.5" customHeight="1">
      <c r="A115" s="120" t="s">
        <v>479</v>
      </c>
      <c r="B115" s="29"/>
      <c r="C115" s="13">
        <v>414100</v>
      </c>
      <c r="D115" s="26" t="s">
        <v>478</v>
      </c>
      <c r="E115" s="170">
        <v>40000</v>
      </c>
      <c r="F115" s="170">
        <v>26300</v>
      </c>
      <c r="G115" s="161">
        <v>13200</v>
      </c>
      <c r="H115" s="341">
        <f t="shared" si="12"/>
        <v>33</v>
      </c>
      <c r="I115" s="227">
        <f t="shared" si="13"/>
        <v>0.0830188679245283</v>
      </c>
      <c r="J115" s="6"/>
    </row>
    <row r="116" spans="1:10" ht="24.75" customHeight="1">
      <c r="A116" s="120" t="s">
        <v>479</v>
      </c>
      <c r="B116" s="29"/>
      <c r="C116" s="13">
        <v>414100</v>
      </c>
      <c r="D116" s="26" t="s">
        <v>557</v>
      </c>
      <c r="E116" s="170">
        <v>0</v>
      </c>
      <c r="F116" s="170">
        <v>39420</v>
      </c>
      <c r="G116" s="170">
        <v>0</v>
      </c>
      <c r="H116" s="341">
        <f t="shared" si="12"/>
        <v>0</v>
      </c>
      <c r="I116" s="227">
        <f t="shared" si="13"/>
        <v>0</v>
      </c>
      <c r="J116" s="6"/>
    </row>
    <row r="117" spans="1:10" ht="15" customHeight="1">
      <c r="A117" s="120" t="s">
        <v>479</v>
      </c>
      <c r="B117" s="29"/>
      <c r="C117" s="13">
        <v>414100</v>
      </c>
      <c r="D117" s="26" t="s">
        <v>588</v>
      </c>
      <c r="E117" s="170"/>
      <c r="F117" s="170">
        <v>0</v>
      </c>
      <c r="G117" s="161">
        <v>30000</v>
      </c>
      <c r="H117" s="341">
        <f t="shared" si="12"/>
        <v>0</v>
      </c>
      <c r="I117" s="227">
        <f t="shared" si="13"/>
        <v>0.18867924528301888</v>
      </c>
      <c r="J117" s="6"/>
    </row>
    <row r="118" spans="1:10" ht="21.75" customHeight="1">
      <c r="A118" s="120" t="s">
        <v>479</v>
      </c>
      <c r="B118" s="29"/>
      <c r="C118" s="13">
        <v>414100</v>
      </c>
      <c r="D118" s="26" t="s">
        <v>589</v>
      </c>
      <c r="E118" s="170"/>
      <c r="F118" s="170">
        <v>0</v>
      </c>
      <c r="G118" s="161">
        <v>30000</v>
      </c>
      <c r="H118" s="341">
        <f t="shared" si="12"/>
        <v>0</v>
      </c>
      <c r="I118" s="227">
        <f t="shared" si="13"/>
        <v>0.18867924528301888</v>
      </c>
      <c r="J118" s="6"/>
    </row>
    <row r="119" spans="1:10" ht="14.25" customHeight="1">
      <c r="A119" s="120"/>
      <c r="B119" s="19">
        <v>415000</v>
      </c>
      <c r="C119" s="29"/>
      <c r="D119" s="28" t="s">
        <v>148</v>
      </c>
      <c r="E119" s="193">
        <f>SUM(E120:E148)</f>
        <v>713000</v>
      </c>
      <c r="F119" s="193">
        <f>SUM(F120:F148)</f>
        <v>849111</v>
      </c>
      <c r="G119" s="193">
        <f>SUM(G120:G149)</f>
        <v>810000</v>
      </c>
      <c r="H119" s="289">
        <f t="shared" si="12"/>
        <v>113.60448807854138</v>
      </c>
      <c r="I119" s="253">
        <f t="shared" si="13"/>
        <v>5.09433962264151</v>
      </c>
      <c r="J119" s="6"/>
    </row>
    <row r="120" spans="1:10" ht="12.75" customHeight="1">
      <c r="A120" s="120" t="s">
        <v>27</v>
      </c>
      <c r="B120" s="29"/>
      <c r="C120" s="53">
        <v>415200</v>
      </c>
      <c r="D120" s="45" t="s">
        <v>220</v>
      </c>
      <c r="E120" s="161">
        <v>4000</v>
      </c>
      <c r="F120" s="161">
        <v>4000</v>
      </c>
      <c r="G120" s="161">
        <v>15000</v>
      </c>
      <c r="H120" s="341">
        <f t="shared" si="12"/>
        <v>375</v>
      </c>
      <c r="I120" s="227">
        <f t="shared" si="13"/>
        <v>0.09433962264150944</v>
      </c>
      <c r="J120" s="6"/>
    </row>
    <row r="121" spans="1:10" ht="12.75" customHeight="1">
      <c r="A121" s="120" t="s">
        <v>29</v>
      </c>
      <c r="B121" s="29"/>
      <c r="C121" s="53">
        <v>415200</v>
      </c>
      <c r="D121" s="26" t="s">
        <v>30</v>
      </c>
      <c r="E121" s="161">
        <v>35000</v>
      </c>
      <c r="F121" s="161">
        <v>31500</v>
      </c>
      <c r="G121" s="161">
        <v>40000</v>
      </c>
      <c r="H121" s="341">
        <f t="shared" si="12"/>
        <v>114.28571428571428</v>
      </c>
      <c r="I121" s="227">
        <f t="shared" si="13"/>
        <v>0.25157232704402516</v>
      </c>
      <c r="J121" s="6"/>
    </row>
    <row r="122" spans="1:10" ht="12.75" customHeight="1">
      <c r="A122" s="120" t="s">
        <v>29</v>
      </c>
      <c r="B122" s="29"/>
      <c r="C122" s="53">
        <v>415200</v>
      </c>
      <c r="D122" s="26" t="s">
        <v>349</v>
      </c>
      <c r="E122" s="161">
        <v>0</v>
      </c>
      <c r="F122" s="161">
        <v>1450</v>
      </c>
      <c r="G122" s="161">
        <v>0</v>
      </c>
      <c r="H122" s="341">
        <f t="shared" si="12"/>
        <v>0</v>
      </c>
      <c r="I122" s="227">
        <f t="shared" si="13"/>
        <v>0</v>
      </c>
      <c r="J122" s="6"/>
    </row>
    <row r="123" spans="1:10" ht="12.75" customHeight="1">
      <c r="A123" s="120" t="s">
        <v>31</v>
      </c>
      <c r="B123" s="29"/>
      <c r="C123" s="53">
        <v>415200</v>
      </c>
      <c r="D123" s="30" t="s">
        <v>274</v>
      </c>
      <c r="E123" s="161">
        <v>220000</v>
      </c>
      <c r="F123" s="161">
        <v>239800</v>
      </c>
      <c r="G123" s="161">
        <v>250000</v>
      </c>
      <c r="H123" s="341">
        <f t="shared" si="12"/>
        <v>113.63636363636364</v>
      </c>
      <c r="I123" s="227">
        <f t="shared" si="13"/>
        <v>1.5723270440251573</v>
      </c>
      <c r="J123" s="6"/>
    </row>
    <row r="124" spans="1:10" ht="12.75">
      <c r="A124" s="120" t="s">
        <v>31</v>
      </c>
      <c r="B124" s="29"/>
      <c r="C124" s="53">
        <v>415200</v>
      </c>
      <c r="D124" s="30" t="s">
        <v>275</v>
      </c>
      <c r="E124" s="161">
        <v>0</v>
      </c>
      <c r="F124" s="161">
        <v>42841</v>
      </c>
      <c r="G124" s="161">
        <v>0</v>
      </c>
      <c r="H124" s="341">
        <f t="shared" si="12"/>
        <v>0</v>
      </c>
      <c r="I124" s="227">
        <f t="shared" si="13"/>
        <v>0</v>
      </c>
      <c r="J124" s="6"/>
    </row>
    <row r="125" spans="1:10" ht="13.5" customHeight="1">
      <c r="A125" s="120" t="s">
        <v>32</v>
      </c>
      <c r="B125" s="29"/>
      <c r="C125" s="53">
        <v>415200</v>
      </c>
      <c r="D125" s="26" t="s">
        <v>111</v>
      </c>
      <c r="E125" s="161">
        <v>20000</v>
      </c>
      <c r="F125" s="161">
        <v>39000</v>
      </c>
      <c r="G125" s="161">
        <v>30000</v>
      </c>
      <c r="H125" s="341">
        <f t="shared" si="12"/>
        <v>150</v>
      </c>
      <c r="I125" s="227">
        <f t="shared" si="13"/>
        <v>0.18867924528301888</v>
      </c>
      <c r="J125" s="6"/>
    </row>
    <row r="126" spans="1:10" ht="25.5" customHeight="1">
      <c r="A126" s="120" t="s">
        <v>32</v>
      </c>
      <c r="B126" s="29"/>
      <c r="C126" s="53">
        <v>415200</v>
      </c>
      <c r="D126" s="26" t="s">
        <v>260</v>
      </c>
      <c r="E126" s="161">
        <v>0</v>
      </c>
      <c r="F126" s="161">
        <v>9650</v>
      </c>
      <c r="G126" s="161">
        <v>0</v>
      </c>
      <c r="H126" s="341">
        <f t="shared" si="12"/>
        <v>0</v>
      </c>
      <c r="I126" s="227">
        <f t="shared" si="13"/>
        <v>0</v>
      </c>
      <c r="J126" s="6"/>
    </row>
    <row r="127" spans="1:10" ht="13.5" customHeight="1">
      <c r="A127" s="36" t="s">
        <v>29</v>
      </c>
      <c r="B127" s="29"/>
      <c r="C127" s="53">
        <v>415200</v>
      </c>
      <c r="D127" s="26" t="s">
        <v>403</v>
      </c>
      <c r="E127" s="161">
        <v>8000</v>
      </c>
      <c r="F127" s="161">
        <v>7200</v>
      </c>
      <c r="G127" s="161">
        <v>10000</v>
      </c>
      <c r="H127" s="341">
        <f t="shared" si="12"/>
        <v>125</v>
      </c>
      <c r="I127" s="227">
        <f t="shared" si="13"/>
        <v>0.06289308176100629</v>
      </c>
      <c r="J127" s="6"/>
    </row>
    <row r="128" spans="1:10" ht="13.5" customHeight="1" hidden="1">
      <c r="A128" s="36" t="s">
        <v>29</v>
      </c>
      <c r="B128" s="29"/>
      <c r="C128" s="53">
        <v>415200</v>
      </c>
      <c r="D128" s="26" t="s">
        <v>468</v>
      </c>
      <c r="E128" s="161"/>
      <c r="F128" s="161"/>
      <c r="G128" s="161"/>
      <c r="H128" s="341">
        <f t="shared" si="12"/>
        <v>0</v>
      </c>
      <c r="I128" s="227">
        <f t="shared" si="13"/>
        <v>0</v>
      </c>
      <c r="J128" s="6"/>
    </row>
    <row r="129" spans="1:10" ht="14.25" customHeight="1">
      <c r="A129" s="36" t="s">
        <v>29</v>
      </c>
      <c r="B129" s="29"/>
      <c r="C129" s="53">
        <v>415200</v>
      </c>
      <c r="D129" s="26" t="s">
        <v>405</v>
      </c>
      <c r="E129" s="161">
        <v>6000</v>
      </c>
      <c r="F129" s="161">
        <v>5400</v>
      </c>
      <c r="G129" s="161">
        <v>9000</v>
      </c>
      <c r="H129" s="341">
        <f t="shared" si="12"/>
        <v>150</v>
      </c>
      <c r="I129" s="227">
        <f t="shared" si="13"/>
        <v>0.05660377358490566</v>
      </c>
      <c r="J129" s="6"/>
    </row>
    <row r="130" spans="1:10" ht="13.5" customHeight="1">
      <c r="A130" s="36" t="s">
        <v>406</v>
      </c>
      <c r="B130" s="29"/>
      <c r="C130" s="53">
        <v>415200</v>
      </c>
      <c r="D130" s="26" t="s">
        <v>404</v>
      </c>
      <c r="E130" s="161">
        <v>6000</v>
      </c>
      <c r="F130" s="161">
        <v>5400</v>
      </c>
      <c r="G130" s="161">
        <v>6000</v>
      </c>
      <c r="H130" s="341">
        <f t="shared" si="12"/>
        <v>100</v>
      </c>
      <c r="I130" s="227">
        <f t="shared" si="13"/>
        <v>0.03773584905660377</v>
      </c>
      <c r="J130" s="6"/>
    </row>
    <row r="131" spans="1:10" ht="12.75" customHeight="1">
      <c r="A131" s="120" t="s">
        <v>32</v>
      </c>
      <c r="B131" s="29"/>
      <c r="C131" s="53">
        <v>415200</v>
      </c>
      <c r="D131" s="26" t="s">
        <v>112</v>
      </c>
      <c r="E131" s="161">
        <v>20000</v>
      </c>
      <c r="F131" s="161">
        <v>20000</v>
      </c>
      <c r="G131" s="161">
        <v>25000</v>
      </c>
      <c r="H131" s="341">
        <f t="shared" si="12"/>
        <v>125</v>
      </c>
      <c r="I131" s="227">
        <f t="shared" si="13"/>
        <v>0.15723270440251574</v>
      </c>
      <c r="J131" s="6"/>
    </row>
    <row r="132" spans="1:10" ht="12.75" customHeight="1">
      <c r="A132" s="120" t="s">
        <v>32</v>
      </c>
      <c r="B132" s="29"/>
      <c r="C132" s="53">
        <v>415200</v>
      </c>
      <c r="D132" s="26" t="s">
        <v>259</v>
      </c>
      <c r="E132" s="161">
        <v>0</v>
      </c>
      <c r="F132" s="161">
        <v>5500</v>
      </c>
      <c r="G132" s="161">
        <v>0</v>
      </c>
      <c r="H132" s="341">
        <f t="shared" si="12"/>
        <v>0</v>
      </c>
      <c r="I132" s="227">
        <f t="shared" si="13"/>
        <v>0</v>
      </c>
      <c r="J132" s="6"/>
    </row>
    <row r="133" spans="1:10" ht="24">
      <c r="A133" s="120" t="s">
        <v>32</v>
      </c>
      <c r="B133" s="29"/>
      <c r="C133" s="53">
        <v>415200</v>
      </c>
      <c r="D133" s="26" t="s">
        <v>317</v>
      </c>
      <c r="E133" s="161">
        <v>10000</v>
      </c>
      <c r="F133" s="161">
        <v>10000</v>
      </c>
      <c r="G133" s="161">
        <v>5000</v>
      </c>
      <c r="H133" s="341">
        <f t="shared" si="12"/>
        <v>50</v>
      </c>
      <c r="I133" s="227">
        <f t="shared" si="13"/>
        <v>0.031446540880503145</v>
      </c>
      <c r="J133" s="6"/>
    </row>
    <row r="134" spans="1:10" ht="36.75" customHeight="1">
      <c r="A134" s="120" t="s">
        <v>32</v>
      </c>
      <c r="B134" s="29"/>
      <c r="C134" s="53">
        <v>415200</v>
      </c>
      <c r="D134" s="26" t="s">
        <v>558</v>
      </c>
      <c r="E134" s="161">
        <v>0</v>
      </c>
      <c r="F134" s="161">
        <v>15647</v>
      </c>
      <c r="G134" s="161">
        <v>0</v>
      </c>
      <c r="H134" s="341">
        <f t="shared" si="12"/>
        <v>0</v>
      </c>
      <c r="I134" s="227">
        <f t="shared" si="13"/>
        <v>0</v>
      </c>
      <c r="J134" s="6"/>
    </row>
    <row r="135" spans="1:10" ht="36">
      <c r="A135" s="120" t="s">
        <v>32</v>
      </c>
      <c r="B135" s="29"/>
      <c r="C135" s="53">
        <v>415200</v>
      </c>
      <c r="D135" s="26" t="s">
        <v>559</v>
      </c>
      <c r="E135" s="161">
        <v>0</v>
      </c>
      <c r="F135" s="161">
        <v>3912</v>
      </c>
      <c r="G135" s="161">
        <v>0</v>
      </c>
      <c r="H135" s="341">
        <f t="shared" si="12"/>
        <v>0</v>
      </c>
      <c r="I135" s="227">
        <f t="shared" si="13"/>
        <v>0</v>
      </c>
      <c r="J135" s="6"/>
    </row>
    <row r="136" spans="1:10" ht="36">
      <c r="A136" s="120" t="s">
        <v>32</v>
      </c>
      <c r="B136" s="29"/>
      <c r="C136" s="53">
        <v>415200</v>
      </c>
      <c r="D136" s="26" t="s">
        <v>560</v>
      </c>
      <c r="E136" s="161">
        <v>0</v>
      </c>
      <c r="F136" s="161">
        <v>2018</v>
      </c>
      <c r="G136" s="161">
        <v>0</v>
      </c>
      <c r="H136" s="341">
        <f t="shared" si="12"/>
        <v>0</v>
      </c>
      <c r="I136" s="227">
        <f t="shared" si="13"/>
        <v>0</v>
      </c>
      <c r="J136" s="6"/>
    </row>
    <row r="137" spans="1:11" ht="12.75" customHeight="1">
      <c r="A137" s="120" t="s">
        <v>29</v>
      </c>
      <c r="B137" s="29"/>
      <c r="C137" s="53">
        <v>415200</v>
      </c>
      <c r="D137" s="26" t="s">
        <v>524</v>
      </c>
      <c r="E137" s="161">
        <v>0</v>
      </c>
      <c r="F137" s="161">
        <v>2000</v>
      </c>
      <c r="G137" s="161">
        <v>2000</v>
      </c>
      <c r="H137" s="341">
        <f t="shared" si="12"/>
        <v>0</v>
      </c>
      <c r="I137" s="227">
        <f t="shared" si="13"/>
        <v>0.012578616352201257</v>
      </c>
      <c r="J137" s="6"/>
      <c r="K137">
        <v>2000</v>
      </c>
    </row>
    <row r="138" spans="1:10" ht="12.75" customHeight="1">
      <c r="A138" s="120" t="s">
        <v>32</v>
      </c>
      <c r="B138" s="29"/>
      <c r="C138" s="53">
        <v>415200</v>
      </c>
      <c r="D138" s="26" t="s">
        <v>95</v>
      </c>
      <c r="E138" s="161">
        <v>32000</v>
      </c>
      <c r="F138" s="161">
        <v>28800</v>
      </c>
      <c r="G138" s="161">
        <v>32000</v>
      </c>
      <c r="H138" s="341">
        <f t="shared" si="12"/>
        <v>100</v>
      </c>
      <c r="I138" s="227">
        <f t="shared" si="13"/>
        <v>0.2012578616352201</v>
      </c>
      <c r="J138" s="6"/>
    </row>
    <row r="139" spans="1:10" ht="15.75" customHeight="1" hidden="1">
      <c r="A139" s="120" t="s">
        <v>32</v>
      </c>
      <c r="B139" s="29"/>
      <c r="C139" s="53">
        <v>415200</v>
      </c>
      <c r="D139" s="26" t="s">
        <v>424</v>
      </c>
      <c r="E139" s="161">
        <v>0</v>
      </c>
      <c r="F139" s="161"/>
      <c r="G139" s="161"/>
      <c r="H139" s="341">
        <f t="shared" si="12"/>
        <v>0</v>
      </c>
      <c r="I139" s="227">
        <f t="shared" si="13"/>
        <v>0</v>
      </c>
      <c r="J139" s="6"/>
    </row>
    <row r="140" spans="1:10" ht="24">
      <c r="A140" s="120" t="s">
        <v>43</v>
      </c>
      <c r="B140" s="19"/>
      <c r="C140" s="53">
        <v>415200</v>
      </c>
      <c r="D140" s="40" t="s">
        <v>206</v>
      </c>
      <c r="E140" s="161">
        <v>40000</v>
      </c>
      <c r="F140" s="161">
        <v>37960</v>
      </c>
      <c r="G140" s="161">
        <v>50000</v>
      </c>
      <c r="H140" s="341">
        <f t="shared" si="12"/>
        <v>125</v>
      </c>
      <c r="I140" s="227">
        <f t="shared" si="13"/>
        <v>0.3144654088050315</v>
      </c>
      <c r="J140" s="6"/>
    </row>
    <row r="141" spans="1:10" ht="24.75" customHeight="1">
      <c r="A141" s="120" t="s">
        <v>43</v>
      </c>
      <c r="B141" s="19"/>
      <c r="C141" s="53">
        <v>415200</v>
      </c>
      <c r="D141" s="30" t="s">
        <v>258</v>
      </c>
      <c r="E141" s="161">
        <v>0</v>
      </c>
      <c r="F141" s="161">
        <v>27950</v>
      </c>
      <c r="G141" s="161">
        <v>0</v>
      </c>
      <c r="H141" s="341">
        <f t="shared" si="12"/>
        <v>0</v>
      </c>
      <c r="I141" s="227">
        <f t="shared" si="13"/>
        <v>0</v>
      </c>
      <c r="J141" s="6"/>
    </row>
    <row r="142" spans="1:10" ht="12.75">
      <c r="A142" s="120" t="s">
        <v>33</v>
      </c>
      <c r="B142" s="29"/>
      <c r="C142" s="13">
        <v>415200</v>
      </c>
      <c r="D142" s="26" t="s">
        <v>93</v>
      </c>
      <c r="E142" s="161">
        <v>130000</v>
      </c>
      <c r="F142" s="161">
        <v>119000</v>
      </c>
      <c r="G142" s="161">
        <v>130000</v>
      </c>
      <c r="H142" s="341">
        <f t="shared" si="12"/>
        <v>100</v>
      </c>
      <c r="I142" s="227">
        <f t="shared" si="13"/>
        <v>0.8176100628930818</v>
      </c>
      <c r="J142" s="6"/>
    </row>
    <row r="143" spans="1:10" ht="12.75">
      <c r="A143" s="36" t="s">
        <v>498</v>
      </c>
      <c r="B143" s="43"/>
      <c r="C143" s="34">
        <v>415200</v>
      </c>
      <c r="D143" s="30" t="s">
        <v>207</v>
      </c>
      <c r="E143" s="161">
        <v>20000</v>
      </c>
      <c r="F143" s="161">
        <v>18000</v>
      </c>
      <c r="G143" s="161">
        <v>20000</v>
      </c>
      <c r="H143" s="341">
        <f t="shared" si="12"/>
        <v>100</v>
      </c>
      <c r="I143" s="227">
        <f t="shared" si="13"/>
        <v>0.12578616352201258</v>
      </c>
      <c r="J143" s="6"/>
    </row>
    <row r="144" spans="1:10" ht="24" customHeight="1">
      <c r="A144" s="36" t="s">
        <v>29</v>
      </c>
      <c r="B144" s="43"/>
      <c r="C144" s="34">
        <v>415200</v>
      </c>
      <c r="D144" s="30" t="s">
        <v>234</v>
      </c>
      <c r="E144" s="161">
        <v>55000</v>
      </c>
      <c r="F144" s="161">
        <v>49500</v>
      </c>
      <c r="G144" s="161">
        <v>55000</v>
      </c>
      <c r="H144" s="341">
        <f t="shared" si="12"/>
        <v>100</v>
      </c>
      <c r="I144" s="227">
        <f t="shared" si="13"/>
        <v>0.3459119496855346</v>
      </c>
      <c r="J144" s="6"/>
    </row>
    <row r="145" spans="1:10" ht="1.5" customHeight="1" hidden="1">
      <c r="A145" s="36" t="s">
        <v>29</v>
      </c>
      <c r="B145" s="43"/>
      <c r="C145" s="34">
        <v>415200</v>
      </c>
      <c r="D145" s="30" t="s">
        <v>350</v>
      </c>
      <c r="E145" s="161"/>
      <c r="F145" s="161"/>
      <c r="G145" s="161"/>
      <c r="H145" s="341">
        <f t="shared" si="12"/>
        <v>0</v>
      </c>
      <c r="I145" s="227">
        <f t="shared" si="13"/>
        <v>0</v>
      </c>
      <c r="J145" s="6"/>
    </row>
    <row r="146" spans="1:10" ht="12.75" customHeight="1">
      <c r="A146" s="120" t="s">
        <v>34</v>
      </c>
      <c r="B146" s="29"/>
      <c r="C146" s="13">
        <v>415200</v>
      </c>
      <c r="D146" s="26" t="s">
        <v>94</v>
      </c>
      <c r="E146" s="161">
        <v>75000</v>
      </c>
      <c r="F146" s="161">
        <v>67500</v>
      </c>
      <c r="G146" s="161">
        <v>85000</v>
      </c>
      <c r="H146" s="341">
        <f t="shared" si="12"/>
        <v>113.33333333333333</v>
      </c>
      <c r="I146" s="227">
        <f t="shared" si="13"/>
        <v>0.5345911949685535</v>
      </c>
      <c r="J146" s="6"/>
    </row>
    <row r="147" spans="1:10" ht="15.75" customHeight="1">
      <c r="A147" s="120" t="s">
        <v>34</v>
      </c>
      <c r="B147" s="29"/>
      <c r="C147" s="13">
        <v>415200</v>
      </c>
      <c r="D147" s="26" t="s">
        <v>257</v>
      </c>
      <c r="E147" s="161">
        <v>0</v>
      </c>
      <c r="F147" s="161">
        <v>500</v>
      </c>
      <c r="G147" s="161">
        <v>0</v>
      </c>
      <c r="H147" s="341">
        <f t="shared" si="12"/>
        <v>0</v>
      </c>
      <c r="I147" s="227">
        <f t="shared" si="13"/>
        <v>0</v>
      </c>
      <c r="J147" s="6"/>
    </row>
    <row r="148" spans="1:10" ht="36.75" customHeight="1">
      <c r="A148" s="120" t="s">
        <v>176</v>
      </c>
      <c r="B148" s="96"/>
      <c r="C148" s="13">
        <v>415200</v>
      </c>
      <c r="D148" s="39" t="s">
        <v>315</v>
      </c>
      <c r="E148" s="161">
        <v>32000</v>
      </c>
      <c r="F148" s="161">
        <v>54583</v>
      </c>
      <c r="G148" s="161">
        <v>40000</v>
      </c>
      <c r="H148" s="341">
        <f t="shared" si="12"/>
        <v>125</v>
      </c>
      <c r="I148" s="227">
        <f t="shared" si="13"/>
        <v>0.25157232704402516</v>
      </c>
      <c r="J148" s="6"/>
    </row>
    <row r="149" spans="1:10" ht="13.5" customHeight="1">
      <c r="A149" s="120" t="s">
        <v>177</v>
      </c>
      <c r="B149" s="96"/>
      <c r="C149" s="13">
        <v>415200</v>
      </c>
      <c r="D149" s="39" t="s">
        <v>591</v>
      </c>
      <c r="E149" s="161">
        <v>0</v>
      </c>
      <c r="F149" s="161">
        <v>0</v>
      </c>
      <c r="G149" s="161">
        <v>6000</v>
      </c>
      <c r="H149" s="341">
        <f t="shared" si="12"/>
        <v>0</v>
      </c>
      <c r="I149" s="227">
        <f t="shared" si="13"/>
        <v>0.03773584905660377</v>
      </c>
      <c r="J149" s="6"/>
    </row>
    <row r="150" spans="1:10" ht="22.5" customHeight="1" hidden="1">
      <c r="A150" s="120" t="s">
        <v>175</v>
      </c>
      <c r="B150" s="96"/>
      <c r="C150" s="13">
        <v>415200</v>
      </c>
      <c r="D150" s="39" t="s">
        <v>562</v>
      </c>
      <c r="E150" s="161"/>
      <c r="F150" s="161"/>
      <c r="G150" s="161"/>
      <c r="H150" s="341">
        <f t="shared" si="12"/>
        <v>0</v>
      </c>
      <c r="I150" s="227"/>
      <c r="J150" s="6"/>
    </row>
    <row r="151" spans="1:10" ht="22.5" customHeight="1" hidden="1">
      <c r="A151" s="120" t="s">
        <v>175</v>
      </c>
      <c r="B151" s="96"/>
      <c r="C151" s="13">
        <v>415200</v>
      </c>
      <c r="D151" s="39" t="s">
        <v>563</v>
      </c>
      <c r="E151" s="161"/>
      <c r="F151" s="161"/>
      <c r="G151" s="161"/>
      <c r="H151" s="341">
        <f t="shared" si="12"/>
        <v>0</v>
      </c>
      <c r="I151" s="227"/>
      <c r="J151" s="6"/>
    </row>
    <row r="152" spans="1:10" ht="22.5" customHeight="1" hidden="1">
      <c r="A152" s="120" t="s">
        <v>31</v>
      </c>
      <c r="B152" s="96"/>
      <c r="C152" s="13">
        <v>415200</v>
      </c>
      <c r="D152" s="39" t="s">
        <v>564</v>
      </c>
      <c r="E152" s="161"/>
      <c r="F152" s="161"/>
      <c r="G152" s="161"/>
      <c r="H152" s="341">
        <f t="shared" si="12"/>
        <v>0</v>
      </c>
      <c r="I152" s="227"/>
      <c r="J152" s="6"/>
    </row>
    <row r="153" spans="1:10" ht="14.25" customHeight="1">
      <c r="A153" s="120"/>
      <c r="B153" s="64">
        <v>416000</v>
      </c>
      <c r="C153" s="27"/>
      <c r="D153" s="50" t="s">
        <v>1</v>
      </c>
      <c r="E153" s="162">
        <f>SUM(E154:E161)</f>
        <v>370000</v>
      </c>
      <c r="F153" s="162">
        <f>SUM(F154:F161)</f>
        <v>397152</v>
      </c>
      <c r="G153" s="162">
        <f>SUM(G154:G161)</f>
        <v>387000</v>
      </c>
      <c r="H153" s="289">
        <f t="shared" si="12"/>
        <v>104.5945945945946</v>
      </c>
      <c r="I153" s="253">
        <f aca="true" t="shared" si="14" ref="I153:I166">G153/$G$534*100</f>
        <v>2.4339622641509435</v>
      </c>
      <c r="J153" s="6"/>
    </row>
    <row r="154" spans="1:10" ht="12.75">
      <c r="A154" s="36" t="s">
        <v>165</v>
      </c>
      <c r="B154" s="29"/>
      <c r="C154" s="13">
        <v>416100</v>
      </c>
      <c r="D154" s="26" t="s">
        <v>194</v>
      </c>
      <c r="E154" s="161">
        <v>300000</v>
      </c>
      <c r="F154" s="161">
        <v>254300</v>
      </c>
      <c r="G154" s="161">
        <v>300000</v>
      </c>
      <c r="H154" s="341">
        <f t="shared" si="12"/>
        <v>100</v>
      </c>
      <c r="I154" s="227">
        <f t="shared" si="14"/>
        <v>1.8867924528301887</v>
      </c>
      <c r="J154" s="6"/>
    </row>
    <row r="155" spans="1:10" ht="24">
      <c r="A155" s="36" t="s">
        <v>165</v>
      </c>
      <c r="B155" s="29"/>
      <c r="C155" s="13">
        <v>416100</v>
      </c>
      <c r="D155" s="26" t="s">
        <v>480</v>
      </c>
      <c r="E155" s="161">
        <v>15000</v>
      </c>
      <c r="F155" s="161">
        <v>20400</v>
      </c>
      <c r="G155" s="161">
        <v>25000</v>
      </c>
      <c r="H155" s="341">
        <f t="shared" si="12"/>
        <v>166.66666666666669</v>
      </c>
      <c r="I155" s="227">
        <f t="shared" si="14"/>
        <v>0.15723270440251574</v>
      </c>
      <c r="J155" s="6"/>
    </row>
    <row r="156" spans="1:10" ht="24">
      <c r="A156" s="36" t="s">
        <v>165</v>
      </c>
      <c r="B156" s="29"/>
      <c r="C156" s="13">
        <v>416100</v>
      </c>
      <c r="D156" s="26" t="s">
        <v>486</v>
      </c>
      <c r="E156" s="161">
        <v>0</v>
      </c>
      <c r="F156" s="161">
        <v>3822</v>
      </c>
      <c r="G156" s="161">
        <v>0</v>
      </c>
      <c r="H156" s="341">
        <f t="shared" si="12"/>
        <v>0</v>
      </c>
      <c r="I156" s="227">
        <f t="shared" si="14"/>
        <v>0</v>
      </c>
      <c r="J156" s="6"/>
    </row>
    <row r="157" spans="1:10" ht="12.75">
      <c r="A157" s="36" t="s">
        <v>165</v>
      </c>
      <c r="B157" s="29"/>
      <c r="C157" s="13">
        <v>416100</v>
      </c>
      <c r="D157" s="26" t="s">
        <v>592</v>
      </c>
      <c r="E157" s="161">
        <v>0</v>
      </c>
      <c r="F157" s="161">
        <v>0</v>
      </c>
      <c r="G157" s="161">
        <v>7000</v>
      </c>
      <c r="H157" s="341">
        <f t="shared" si="12"/>
        <v>0</v>
      </c>
      <c r="I157" s="227">
        <f t="shared" si="14"/>
        <v>0.0440251572327044</v>
      </c>
      <c r="J157" s="6"/>
    </row>
    <row r="158" spans="1:10" ht="12.75">
      <c r="A158" s="36" t="s">
        <v>29</v>
      </c>
      <c r="B158" s="38"/>
      <c r="C158" s="13">
        <v>416100</v>
      </c>
      <c r="D158" s="39" t="s">
        <v>100</v>
      </c>
      <c r="E158" s="161">
        <v>10000</v>
      </c>
      <c r="F158" s="161">
        <v>10000</v>
      </c>
      <c r="G158" s="161">
        <v>10000</v>
      </c>
      <c r="H158" s="341">
        <f t="shared" si="12"/>
        <v>100</v>
      </c>
      <c r="I158" s="227">
        <f t="shared" si="14"/>
        <v>0.06289308176100629</v>
      </c>
      <c r="J158" s="6"/>
    </row>
    <row r="159" spans="1:10" ht="12.75" customHeight="1">
      <c r="A159" s="36" t="s">
        <v>29</v>
      </c>
      <c r="B159" s="38"/>
      <c r="C159" s="13">
        <v>416100</v>
      </c>
      <c r="D159" s="39" t="s">
        <v>256</v>
      </c>
      <c r="E159" s="161">
        <v>0</v>
      </c>
      <c r="F159" s="161">
        <v>68130</v>
      </c>
      <c r="G159" s="161">
        <v>0</v>
      </c>
      <c r="H159" s="341">
        <f t="shared" si="12"/>
        <v>0</v>
      </c>
      <c r="I159" s="227">
        <f t="shared" si="14"/>
        <v>0</v>
      </c>
      <c r="J159" s="6"/>
    </row>
    <row r="160" spans="1:10" ht="24">
      <c r="A160" s="36" t="s">
        <v>175</v>
      </c>
      <c r="B160" s="38"/>
      <c r="C160" s="13">
        <v>416100</v>
      </c>
      <c r="D160" s="39" t="s">
        <v>190</v>
      </c>
      <c r="E160" s="170">
        <v>30000</v>
      </c>
      <c r="F160" s="170">
        <v>30000</v>
      </c>
      <c r="G160" s="170">
        <v>30000</v>
      </c>
      <c r="H160" s="341">
        <f t="shared" si="12"/>
        <v>100</v>
      </c>
      <c r="I160" s="227">
        <f t="shared" si="14"/>
        <v>0.18867924528301888</v>
      </c>
      <c r="J160" s="6"/>
    </row>
    <row r="161" spans="1:10" ht="24">
      <c r="A161" s="36" t="s">
        <v>175</v>
      </c>
      <c r="B161" s="38"/>
      <c r="C161" s="13">
        <v>416100</v>
      </c>
      <c r="D161" s="39" t="s">
        <v>281</v>
      </c>
      <c r="E161" s="170">
        <v>15000</v>
      </c>
      <c r="F161" s="170">
        <v>10500</v>
      </c>
      <c r="G161" s="170">
        <v>15000</v>
      </c>
      <c r="H161" s="341">
        <f t="shared" si="12"/>
        <v>100</v>
      </c>
      <c r="I161" s="227">
        <f t="shared" si="14"/>
        <v>0.09433962264150944</v>
      </c>
      <c r="J161" s="6"/>
    </row>
    <row r="162" spans="1:10" ht="15" customHeight="1">
      <c r="A162" s="224"/>
      <c r="B162" s="64">
        <v>487000</v>
      </c>
      <c r="C162" s="13"/>
      <c r="D162" s="134" t="s">
        <v>401</v>
      </c>
      <c r="E162" s="56">
        <f>SUM(E163:E165)</f>
        <v>18000</v>
      </c>
      <c r="F162" s="56">
        <f>SUM(F163:F165)</f>
        <v>20710</v>
      </c>
      <c r="G162" s="56">
        <f>SUM(G163:G165)</f>
        <v>18000</v>
      </c>
      <c r="H162" s="289">
        <f t="shared" si="12"/>
        <v>100</v>
      </c>
      <c r="I162" s="253">
        <f t="shared" si="14"/>
        <v>0.11320754716981132</v>
      </c>
      <c r="J162" s="6"/>
    </row>
    <row r="163" spans="1:10" ht="13.5" customHeight="1">
      <c r="A163" s="224" t="s">
        <v>27</v>
      </c>
      <c r="B163" s="64"/>
      <c r="C163" s="13">
        <v>487900</v>
      </c>
      <c r="D163" s="45" t="s">
        <v>161</v>
      </c>
      <c r="E163" s="161">
        <v>8000</v>
      </c>
      <c r="F163" s="161">
        <v>8000</v>
      </c>
      <c r="G163" s="161">
        <v>8000</v>
      </c>
      <c r="H163" s="341">
        <f t="shared" si="12"/>
        <v>100</v>
      </c>
      <c r="I163" s="227">
        <f t="shared" si="14"/>
        <v>0.05031446540880503</v>
      </c>
      <c r="J163" s="6"/>
    </row>
    <row r="164" spans="1:10" ht="13.5" customHeight="1">
      <c r="A164" s="36" t="s">
        <v>27</v>
      </c>
      <c r="B164" s="38"/>
      <c r="C164" s="13">
        <v>487900</v>
      </c>
      <c r="D164" s="45" t="s">
        <v>261</v>
      </c>
      <c r="E164" s="161">
        <v>0</v>
      </c>
      <c r="F164" s="161">
        <v>2710</v>
      </c>
      <c r="G164" s="161">
        <v>0</v>
      </c>
      <c r="H164" s="341">
        <f t="shared" si="12"/>
        <v>0</v>
      </c>
      <c r="I164" s="227">
        <f t="shared" si="14"/>
        <v>0</v>
      </c>
      <c r="J164" s="6"/>
    </row>
    <row r="165" spans="1:10" ht="12.75" customHeight="1">
      <c r="A165" s="120" t="s">
        <v>27</v>
      </c>
      <c r="B165" s="29"/>
      <c r="C165" s="53">
        <v>487900</v>
      </c>
      <c r="D165" s="45" t="s">
        <v>316</v>
      </c>
      <c r="E165" s="161">
        <v>10000</v>
      </c>
      <c r="F165" s="161">
        <v>10000</v>
      </c>
      <c r="G165" s="161">
        <v>10000</v>
      </c>
      <c r="H165" s="341">
        <f t="shared" si="12"/>
        <v>100</v>
      </c>
      <c r="I165" s="227">
        <f t="shared" si="14"/>
        <v>0.06289308176100629</v>
      </c>
      <c r="J165" s="6"/>
    </row>
    <row r="166" spans="1:10" ht="30" customHeight="1">
      <c r="A166" s="550"/>
      <c r="B166" s="551"/>
      <c r="C166" s="546" t="s">
        <v>229</v>
      </c>
      <c r="D166" s="547"/>
      <c r="E166" s="282">
        <f>E108+E113+E119+E153+E162</f>
        <v>1211400</v>
      </c>
      <c r="F166" s="282">
        <f>F108+F113+F119+F153+F162</f>
        <v>1395593</v>
      </c>
      <c r="G166" s="282">
        <f>G108+G113+G119+G153+G162</f>
        <v>1363100</v>
      </c>
      <c r="H166" s="435">
        <f t="shared" si="12"/>
        <v>112.52270100709923</v>
      </c>
      <c r="I166" s="286">
        <f t="shared" si="14"/>
        <v>8.572955974842769</v>
      </c>
      <c r="J166" s="6"/>
    </row>
    <row r="167" spans="1:10" ht="9.75" customHeight="1">
      <c r="A167" s="550"/>
      <c r="B167" s="551"/>
      <c r="C167" s="544" t="s">
        <v>118</v>
      </c>
      <c r="D167" s="545"/>
      <c r="E167" s="152"/>
      <c r="F167" s="152"/>
      <c r="G167" s="152"/>
      <c r="H167" s="152"/>
      <c r="I167" s="303"/>
      <c r="J167" s="6"/>
    </row>
    <row r="168" spans="1:10" ht="9.75" customHeight="1">
      <c r="A168" s="550"/>
      <c r="B168" s="551"/>
      <c r="C168" s="544"/>
      <c r="D168" s="545"/>
      <c r="E168" s="153"/>
      <c r="F168" s="153"/>
      <c r="G168" s="153"/>
      <c r="H168" s="153"/>
      <c r="I168" s="304"/>
      <c r="J168" s="6"/>
    </row>
    <row r="169" spans="1:10" ht="19.5" customHeight="1">
      <c r="A169" s="550"/>
      <c r="B169" s="551"/>
      <c r="C169" s="544"/>
      <c r="D169" s="545"/>
      <c r="E169" s="154"/>
      <c r="F169" s="154"/>
      <c r="G169" s="154"/>
      <c r="H169" s="154"/>
      <c r="I169" s="305"/>
      <c r="J169" s="6"/>
    </row>
    <row r="170" spans="1:10" ht="14.25" customHeight="1">
      <c r="A170" s="120"/>
      <c r="B170" s="19">
        <v>412000</v>
      </c>
      <c r="C170" s="27"/>
      <c r="D170" s="28" t="s">
        <v>134</v>
      </c>
      <c r="E170" s="289">
        <f>SUM(E171:E175)</f>
        <v>85400</v>
      </c>
      <c r="F170" s="289">
        <f>SUM(F171:F175)</f>
        <v>70300</v>
      </c>
      <c r="G170" s="289">
        <f>SUM(G171:G175)</f>
        <v>83400</v>
      </c>
      <c r="H170" s="289">
        <f aca="true" t="shared" si="15" ref="H170:H178">IF(E170&gt;0,G170/E170*100,0)</f>
        <v>97.65807962529274</v>
      </c>
      <c r="I170" s="288">
        <f aca="true" t="shared" si="16" ref="I170:I178">G170/$G$534*100</f>
        <v>0.5245283018867924</v>
      </c>
      <c r="J170" s="6"/>
    </row>
    <row r="171" spans="1:10" ht="24.75" customHeight="1">
      <c r="A171" s="120" t="s">
        <v>35</v>
      </c>
      <c r="B171" s="19"/>
      <c r="C171" s="13">
        <v>412700</v>
      </c>
      <c r="D171" s="26" t="s">
        <v>182</v>
      </c>
      <c r="E171" s="170">
        <v>20000</v>
      </c>
      <c r="F171" s="170">
        <v>14000</v>
      </c>
      <c r="G171" s="170">
        <v>16000</v>
      </c>
      <c r="H171" s="341">
        <f t="shared" si="15"/>
        <v>80</v>
      </c>
      <c r="I171" s="227">
        <f t="shared" si="16"/>
        <v>0.10062893081761005</v>
      </c>
      <c r="J171" s="6"/>
    </row>
    <row r="172" spans="1:10" ht="25.5" customHeight="1">
      <c r="A172" s="120" t="s">
        <v>35</v>
      </c>
      <c r="B172" s="19"/>
      <c r="C172" s="13">
        <v>412700</v>
      </c>
      <c r="D172" s="26" t="s">
        <v>102</v>
      </c>
      <c r="E172" s="170">
        <v>40000</v>
      </c>
      <c r="F172" s="170">
        <v>30900</v>
      </c>
      <c r="G172" s="170">
        <v>40000</v>
      </c>
      <c r="H172" s="341">
        <f t="shared" si="15"/>
        <v>100</v>
      </c>
      <c r="I172" s="227">
        <f t="shared" si="16"/>
        <v>0.25157232704402516</v>
      </c>
      <c r="J172" s="6"/>
    </row>
    <row r="173" spans="1:10" ht="36">
      <c r="A173" s="120" t="s">
        <v>35</v>
      </c>
      <c r="B173" s="19"/>
      <c r="C173" s="13">
        <v>412700</v>
      </c>
      <c r="D173" s="26" t="s">
        <v>561</v>
      </c>
      <c r="E173" s="170">
        <v>0</v>
      </c>
      <c r="F173" s="170">
        <v>5000</v>
      </c>
      <c r="G173" s="170">
        <v>0</v>
      </c>
      <c r="H173" s="341">
        <f t="shared" si="15"/>
        <v>0</v>
      </c>
      <c r="I173" s="227">
        <f t="shared" si="16"/>
        <v>0</v>
      </c>
      <c r="J173" s="6"/>
    </row>
    <row r="174" spans="1:10" ht="12.75">
      <c r="A174" s="120" t="s">
        <v>24</v>
      </c>
      <c r="B174" s="29"/>
      <c r="C174" s="13">
        <v>412900</v>
      </c>
      <c r="D174" s="26" t="s">
        <v>25</v>
      </c>
      <c r="E174" s="170">
        <v>400</v>
      </c>
      <c r="F174" s="170">
        <v>400</v>
      </c>
      <c r="G174" s="170">
        <v>400</v>
      </c>
      <c r="H174" s="341">
        <f t="shared" si="15"/>
        <v>100</v>
      </c>
      <c r="I174" s="227">
        <f t="shared" si="16"/>
        <v>0.002515723270440252</v>
      </c>
      <c r="J174" s="6"/>
    </row>
    <row r="175" spans="1:10" ht="24" customHeight="1">
      <c r="A175" s="120" t="s">
        <v>24</v>
      </c>
      <c r="B175" s="29"/>
      <c r="C175" s="13">
        <v>412900</v>
      </c>
      <c r="D175" s="26" t="s">
        <v>101</v>
      </c>
      <c r="E175" s="170">
        <v>25000</v>
      </c>
      <c r="F175" s="170">
        <v>20000</v>
      </c>
      <c r="G175" s="170">
        <v>27000</v>
      </c>
      <c r="H175" s="341">
        <f t="shared" si="15"/>
        <v>108</v>
      </c>
      <c r="I175" s="227">
        <f t="shared" si="16"/>
        <v>0.16981132075471697</v>
      </c>
      <c r="J175" s="6"/>
    </row>
    <row r="176" spans="1:10" ht="16.5" customHeight="1">
      <c r="A176" s="120"/>
      <c r="B176" s="64">
        <v>414000</v>
      </c>
      <c r="C176" s="13"/>
      <c r="D176" s="50" t="s">
        <v>189</v>
      </c>
      <c r="E176" s="289">
        <f>SUM(E177)</f>
        <v>20000</v>
      </c>
      <c r="F176" s="289">
        <f>SUM(F177)</f>
        <v>32000</v>
      </c>
      <c r="G176" s="289">
        <f>SUM(G177)</f>
        <v>25000</v>
      </c>
      <c r="H176" s="289">
        <f t="shared" si="15"/>
        <v>125</v>
      </c>
      <c r="I176" s="288">
        <f t="shared" si="16"/>
        <v>0.15723270440251574</v>
      </c>
      <c r="J176" s="6"/>
    </row>
    <row r="177" spans="1:10" ht="15.75" customHeight="1">
      <c r="A177" s="120" t="s">
        <v>35</v>
      </c>
      <c r="B177" s="29"/>
      <c r="C177" s="13">
        <v>414100</v>
      </c>
      <c r="D177" s="26" t="s">
        <v>507</v>
      </c>
      <c r="E177" s="161">
        <v>20000</v>
      </c>
      <c r="F177" s="161">
        <v>32000</v>
      </c>
      <c r="G177" s="161">
        <v>25000</v>
      </c>
      <c r="H177" s="181">
        <f t="shared" si="15"/>
        <v>125</v>
      </c>
      <c r="I177" s="227">
        <f t="shared" si="16"/>
        <v>0.15723270440251574</v>
      </c>
      <c r="J177" s="6"/>
    </row>
    <row r="178" spans="1:10" ht="30" customHeight="1">
      <c r="A178" s="550"/>
      <c r="B178" s="551"/>
      <c r="C178" s="546" t="s">
        <v>235</v>
      </c>
      <c r="D178" s="547"/>
      <c r="E178" s="60">
        <f>E170+E176</f>
        <v>105400</v>
      </c>
      <c r="F178" s="60">
        <f>F170+F176</f>
        <v>102300</v>
      </c>
      <c r="G178" s="60">
        <f>G170+G176</f>
        <v>108400</v>
      </c>
      <c r="H178" s="435">
        <f t="shared" si="15"/>
        <v>102.84629981024669</v>
      </c>
      <c r="I178" s="262">
        <f t="shared" si="16"/>
        <v>0.6817610062893081</v>
      </c>
      <c r="J178" s="6"/>
    </row>
    <row r="179" spans="1:10" ht="9.75" customHeight="1">
      <c r="A179" s="550"/>
      <c r="B179" s="551"/>
      <c r="C179" s="544" t="s">
        <v>119</v>
      </c>
      <c r="D179" s="545"/>
      <c r="E179" s="152"/>
      <c r="F179" s="152"/>
      <c r="G179" s="152"/>
      <c r="H179" s="152"/>
      <c r="I179" s="303"/>
      <c r="J179" s="6"/>
    </row>
    <row r="180" spans="1:10" ht="9.75" customHeight="1">
      <c r="A180" s="550"/>
      <c r="B180" s="551"/>
      <c r="C180" s="544"/>
      <c r="D180" s="545"/>
      <c r="E180" s="153"/>
      <c r="F180" s="153"/>
      <c r="G180" s="153"/>
      <c r="H180" s="153"/>
      <c r="I180" s="304"/>
      <c r="J180" s="6"/>
    </row>
    <row r="181" spans="1:10" ht="9.75" customHeight="1">
      <c r="A181" s="550"/>
      <c r="B181" s="551"/>
      <c r="C181" s="544"/>
      <c r="D181" s="545"/>
      <c r="E181" s="153"/>
      <c r="F181" s="153"/>
      <c r="G181" s="153"/>
      <c r="H181" s="153"/>
      <c r="I181" s="304"/>
      <c r="J181" s="6"/>
    </row>
    <row r="182" spans="1:10" ht="19.5" customHeight="1">
      <c r="A182" s="550"/>
      <c r="B182" s="551"/>
      <c r="C182" s="544"/>
      <c r="D182" s="545"/>
      <c r="E182" s="154"/>
      <c r="F182" s="154"/>
      <c r="G182" s="154"/>
      <c r="H182" s="154"/>
      <c r="I182" s="305"/>
      <c r="J182" s="6"/>
    </row>
    <row r="183" spans="1:10" ht="14.25" customHeight="1">
      <c r="A183" s="120"/>
      <c r="B183" s="19">
        <v>412000</v>
      </c>
      <c r="C183" s="32"/>
      <c r="D183" s="28" t="s">
        <v>134</v>
      </c>
      <c r="E183" s="289">
        <f>SUM(E184:E188)</f>
        <v>111400</v>
      </c>
      <c r="F183" s="289">
        <f>SUM(F184:F188)</f>
        <v>115630</v>
      </c>
      <c r="G183" s="289">
        <f>SUM(G184:G188)</f>
        <v>120400</v>
      </c>
      <c r="H183" s="289">
        <f aca="true" t="shared" si="17" ref="H183:H223">IF(E183&gt;0,G183/E183*100,0)</f>
        <v>108.07899461400359</v>
      </c>
      <c r="I183" s="288">
        <f aca="true" t="shared" si="18" ref="I183:I223">G183/$G$534*100</f>
        <v>0.7572327044025157</v>
      </c>
      <c r="J183" s="6"/>
    </row>
    <row r="184" spans="1:10" ht="14.25" customHeight="1">
      <c r="A184" s="120" t="s">
        <v>24</v>
      </c>
      <c r="B184" s="19"/>
      <c r="C184" s="13">
        <v>412100</v>
      </c>
      <c r="D184" s="26" t="s">
        <v>263</v>
      </c>
      <c r="E184" s="161">
        <v>30000</v>
      </c>
      <c r="F184" s="161">
        <v>33300</v>
      </c>
      <c r="G184" s="161">
        <v>30000</v>
      </c>
      <c r="H184" s="341">
        <f t="shared" si="17"/>
        <v>100</v>
      </c>
      <c r="I184" s="227">
        <f t="shared" si="18"/>
        <v>0.18867924528301888</v>
      </c>
      <c r="J184" s="6"/>
    </row>
    <row r="185" spans="1:10" ht="21.75" customHeight="1">
      <c r="A185" s="120" t="s">
        <v>24</v>
      </c>
      <c r="B185" s="19"/>
      <c r="C185" s="13">
        <v>412200</v>
      </c>
      <c r="D185" s="26" t="s">
        <v>581</v>
      </c>
      <c r="E185" s="161">
        <v>12000</v>
      </c>
      <c r="F185" s="161">
        <v>16000</v>
      </c>
      <c r="G185" s="161">
        <v>22000</v>
      </c>
      <c r="H185" s="341">
        <f t="shared" si="17"/>
        <v>183.33333333333331</v>
      </c>
      <c r="I185" s="227">
        <f t="shared" si="18"/>
        <v>0.13836477987421383</v>
      </c>
      <c r="J185" s="6"/>
    </row>
    <row r="186" spans="1:10" ht="12.75" customHeight="1">
      <c r="A186" s="36" t="s">
        <v>24</v>
      </c>
      <c r="B186" s="29"/>
      <c r="C186" s="43">
        <v>412700</v>
      </c>
      <c r="D186" s="30" t="s">
        <v>183</v>
      </c>
      <c r="E186" s="161">
        <v>9000</v>
      </c>
      <c r="F186" s="161">
        <v>7000</v>
      </c>
      <c r="G186" s="161">
        <v>8000</v>
      </c>
      <c r="H186" s="341">
        <f t="shared" si="17"/>
        <v>88.88888888888889</v>
      </c>
      <c r="I186" s="227">
        <f t="shared" si="18"/>
        <v>0.05031446540880503</v>
      </c>
      <c r="J186" s="6"/>
    </row>
    <row r="187" spans="1:10" ht="23.25" customHeight="1">
      <c r="A187" s="120" t="s">
        <v>24</v>
      </c>
      <c r="B187" s="29"/>
      <c r="C187" s="13">
        <v>412900</v>
      </c>
      <c r="D187" s="26" t="s">
        <v>264</v>
      </c>
      <c r="E187" s="161">
        <v>60000</v>
      </c>
      <c r="F187" s="161">
        <v>58930</v>
      </c>
      <c r="G187" s="161">
        <v>60000</v>
      </c>
      <c r="H187" s="341">
        <f t="shared" si="17"/>
        <v>100</v>
      </c>
      <c r="I187" s="227">
        <f t="shared" si="18"/>
        <v>0.37735849056603776</v>
      </c>
      <c r="J187" s="6"/>
    </row>
    <row r="188" spans="1:10" ht="12.75" customHeight="1">
      <c r="A188" s="120" t="s">
        <v>24</v>
      </c>
      <c r="B188" s="29"/>
      <c r="C188" s="13">
        <v>412900</v>
      </c>
      <c r="D188" s="26" t="s">
        <v>0</v>
      </c>
      <c r="E188" s="170">
        <v>400</v>
      </c>
      <c r="F188" s="170">
        <v>400</v>
      </c>
      <c r="G188" s="170">
        <v>400</v>
      </c>
      <c r="H188" s="341">
        <f t="shared" si="17"/>
        <v>100</v>
      </c>
      <c r="I188" s="227">
        <f t="shared" si="18"/>
        <v>0.002515723270440252</v>
      </c>
      <c r="J188" s="6"/>
    </row>
    <row r="189" spans="1:10" ht="15" customHeight="1">
      <c r="A189" s="120"/>
      <c r="B189" s="19"/>
      <c r="C189" s="13"/>
      <c r="D189" s="28" t="s">
        <v>203</v>
      </c>
      <c r="E189" s="162">
        <f>SUM(E190:E198)</f>
        <v>618000</v>
      </c>
      <c r="F189" s="162">
        <f>SUM(F190:F198)</f>
        <v>692000</v>
      </c>
      <c r="G189" s="162">
        <f>SUM(G190:G198)</f>
        <v>653000</v>
      </c>
      <c r="H189" s="289">
        <f t="shared" si="17"/>
        <v>105.66343042071198</v>
      </c>
      <c r="I189" s="253">
        <f t="shared" si="18"/>
        <v>4.1069182389937104</v>
      </c>
      <c r="J189" s="6"/>
    </row>
    <row r="190" spans="1:10" ht="70.5" customHeight="1">
      <c r="A190" s="36" t="s">
        <v>37</v>
      </c>
      <c r="B190" s="29"/>
      <c r="C190" s="34">
        <v>412800</v>
      </c>
      <c r="D190" s="30" t="s">
        <v>224</v>
      </c>
      <c r="E190" s="170">
        <v>140000</v>
      </c>
      <c r="F190" s="170">
        <v>135000</v>
      </c>
      <c r="G190" s="170">
        <v>140000</v>
      </c>
      <c r="H190" s="341">
        <f t="shared" si="17"/>
        <v>100</v>
      </c>
      <c r="I190" s="227">
        <f t="shared" si="18"/>
        <v>0.8805031446540881</v>
      </c>
      <c r="J190" s="6"/>
    </row>
    <row r="191" spans="1:10" ht="37.5" customHeight="1">
      <c r="A191" s="36" t="s">
        <v>37</v>
      </c>
      <c r="B191" s="29"/>
      <c r="C191" s="34">
        <v>412800</v>
      </c>
      <c r="D191" s="30" t="s">
        <v>225</v>
      </c>
      <c r="E191" s="161">
        <v>55000</v>
      </c>
      <c r="F191" s="161">
        <v>61350</v>
      </c>
      <c r="G191" s="161">
        <v>55000</v>
      </c>
      <c r="H191" s="341">
        <f t="shared" si="17"/>
        <v>100</v>
      </c>
      <c r="I191" s="227">
        <f t="shared" si="18"/>
        <v>0.3459119496855346</v>
      </c>
      <c r="J191" s="6"/>
    </row>
    <row r="192" spans="1:10" ht="15.75" customHeight="1">
      <c r="A192" s="36" t="s">
        <v>37</v>
      </c>
      <c r="B192" s="29"/>
      <c r="C192" s="34">
        <v>412800</v>
      </c>
      <c r="D192" s="30" t="s">
        <v>103</v>
      </c>
      <c r="E192" s="170">
        <v>200000</v>
      </c>
      <c r="F192" s="170">
        <v>180000</v>
      </c>
      <c r="G192" s="170">
        <v>190000</v>
      </c>
      <c r="H192" s="341">
        <f t="shared" si="17"/>
        <v>95</v>
      </c>
      <c r="I192" s="227">
        <f t="shared" si="18"/>
        <v>1.1949685534591197</v>
      </c>
      <c r="J192" s="6"/>
    </row>
    <row r="193" spans="1:10" ht="24.75" customHeight="1">
      <c r="A193" s="36" t="s">
        <v>37</v>
      </c>
      <c r="B193" s="29"/>
      <c r="C193" s="34">
        <v>412800</v>
      </c>
      <c r="D193" s="30" t="s">
        <v>123</v>
      </c>
      <c r="E193" s="170">
        <v>160000</v>
      </c>
      <c r="F193" s="170">
        <v>235000</v>
      </c>
      <c r="G193" s="161">
        <v>190000</v>
      </c>
      <c r="H193" s="341">
        <f t="shared" si="17"/>
        <v>118.75</v>
      </c>
      <c r="I193" s="227">
        <f t="shared" si="18"/>
        <v>1.1949685534591197</v>
      </c>
      <c r="J193" s="6"/>
    </row>
    <row r="194" spans="1:10" ht="24.75" customHeight="1">
      <c r="A194" s="36" t="s">
        <v>37</v>
      </c>
      <c r="B194" s="29"/>
      <c r="C194" s="34">
        <v>412800</v>
      </c>
      <c r="D194" s="30" t="s">
        <v>276</v>
      </c>
      <c r="E194" s="161">
        <v>25000</v>
      </c>
      <c r="F194" s="161">
        <v>50000</v>
      </c>
      <c r="G194" s="161">
        <v>40000</v>
      </c>
      <c r="H194" s="341">
        <f t="shared" si="17"/>
        <v>160</v>
      </c>
      <c r="I194" s="227">
        <f t="shared" si="18"/>
        <v>0.25157232704402516</v>
      </c>
      <c r="J194" s="6"/>
    </row>
    <row r="195" spans="1:10" ht="12.75">
      <c r="A195" s="36" t="s">
        <v>37</v>
      </c>
      <c r="B195" s="29"/>
      <c r="C195" s="29">
        <v>412800</v>
      </c>
      <c r="D195" s="40" t="s">
        <v>196</v>
      </c>
      <c r="E195" s="161">
        <v>5000</v>
      </c>
      <c r="F195" s="161">
        <v>5000</v>
      </c>
      <c r="G195" s="161">
        <v>5000</v>
      </c>
      <c r="H195" s="341">
        <f t="shared" si="17"/>
        <v>100</v>
      </c>
      <c r="I195" s="227">
        <f t="shared" si="18"/>
        <v>0.031446540880503145</v>
      </c>
      <c r="J195" s="6"/>
    </row>
    <row r="196" spans="1:10" ht="12.75">
      <c r="A196" s="36" t="s">
        <v>37</v>
      </c>
      <c r="B196" s="29"/>
      <c r="C196" s="34">
        <v>412800</v>
      </c>
      <c r="D196" s="30" t="s">
        <v>38</v>
      </c>
      <c r="E196" s="161">
        <v>18000</v>
      </c>
      <c r="F196" s="161">
        <v>18000</v>
      </c>
      <c r="G196" s="161">
        <v>18000</v>
      </c>
      <c r="H196" s="341">
        <f t="shared" si="17"/>
        <v>100</v>
      </c>
      <c r="I196" s="227">
        <f t="shared" si="18"/>
        <v>0.11320754716981132</v>
      </c>
      <c r="J196" s="6"/>
    </row>
    <row r="197" spans="1:10" ht="12.75" customHeight="1" hidden="1">
      <c r="A197" s="36" t="s">
        <v>37</v>
      </c>
      <c r="B197" s="29"/>
      <c r="C197" s="34">
        <v>412800</v>
      </c>
      <c r="D197" s="30" t="s">
        <v>335</v>
      </c>
      <c r="E197" s="161"/>
      <c r="F197" s="161"/>
      <c r="G197" s="161"/>
      <c r="H197" s="341">
        <f t="shared" si="17"/>
        <v>0</v>
      </c>
      <c r="I197" s="227">
        <f t="shared" si="18"/>
        <v>0</v>
      </c>
      <c r="J197" s="6"/>
    </row>
    <row r="198" spans="1:10" ht="25.5" customHeight="1">
      <c r="A198" s="36" t="s">
        <v>37</v>
      </c>
      <c r="B198" s="29"/>
      <c r="C198" s="34">
        <v>412900</v>
      </c>
      <c r="D198" s="30" t="s">
        <v>130</v>
      </c>
      <c r="E198" s="161">
        <v>15000</v>
      </c>
      <c r="F198" s="161">
        <v>7650</v>
      </c>
      <c r="G198" s="161">
        <v>15000</v>
      </c>
      <c r="H198" s="341">
        <f t="shared" si="17"/>
        <v>100</v>
      </c>
      <c r="I198" s="227">
        <f t="shared" si="18"/>
        <v>0.09433962264150944</v>
      </c>
      <c r="J198" s="6"/>
    </row>
    <row r="199" spans="1:10" ht="16.5" customHeight="1">
      <c r="A199" s="120"/>
      <c r="B199" s="29"/>
      <c r="C199" s="41"/>
      <c r="D199" s="42" t="s">
        <v>39</v>
      </c>
      <c r="E199" s="162">
        <f>SUM(E200:E205)</f>
        <v>248000</v>
      </c>
      <c r="F199" s="162">
        <f>SUM(F200:F205)</f>
        <v>254000</v>
      </c>
      <c r="G199" s="162">
        <f>SUM(G200:G205)</f>
        <v>268000</v>
      </c>
      <c r="H199" s="289">
        <f t="shared" si="17"/>
        <v>108.06451612903226</v>
      </c>
      <c r="I199" s="253">
        <f t="shared" si="18"/>
        <v>1.6855345911949686</v>
      </c>
      <c r="J199" s="6"/>
    </row>
    <row r="200" spans="1:10" ht="24.75" customHeight="1">
      <c r="A200" s="120" t="s">
        <v>40</v>
      </c>
      <c r="B200" s="29"/>
      <c r="C200" s="34">
        <v>412500</v>
      </c>
      <c r="D200" s="30" t="s">
        <v>477</v>
      </c>
      <c r="E200" s="170">
        <v>148000</v>
      </c>
      <c r="F200" s="170">
        <v>148000</v>
      </c>
      <c r="G200" s="170">
        <v>168000</v>
      </c>
      <c r="H200" s="341">
        <f t="shared" si="17"/>
        <v>113.51351351351352</v>
      </c>
      <c r="I200" s="227">
        <f t="shared" si="18"/>
        <v>1.0566037735849056</v>
      </c>
      <c r="J200" s="6"/>
    </row>
    <row r="201" spans="1:10" ht="36" hidden="1">
      <c r="A201" s="120" t="s">
        <v>40</v>
      </c>
      <c r="B201" s="29"/>
      <c r="C201" s="34">
        <v>412500</v>
      </c>
      <c r="D201" s="30" t="s">
        <v>279</v>
      </c>
      <c r="E201" s="170">
        <v>0</v>
      </c>
      <c r="F201" s="170"/>
      <c r="G201" s="170"/>
      <c r="H201" s="341">
        <f t="shared" si="17"/>
        <v>0</v>
      </c>
      <c r="I201" s="227">
        <f t="shared" si="18"/>
        <v>0</v>
      </c>
      <c r="J201" s="6"/>
    </row>
    <row r="202" spans="1:10" ht="24.75" customHeight="1">
      <c r="A202" s="120" t="s">
        <v>40</v>
      </c>
      <c r="B202" s="29"/>
      <c r="C202" s="34">
        <v>412500</v>
      </c>
      <c r="D202" s="40" t="s">
        <v>187</v>
      </c>
      <c r="E202" s="170">
        <v>15000</v>
      </c>
      <c r="F202" s="170">
        <v>15000</v>
      </c>
      <c r="G202" s="170">
        <v>15000</v>
      </c>
      <c r="H202" s="341">
        <f t="shared" si="17"/>
        <v>100</v>
      </c>
      <c r="I202" s="227">
        <f t="shared" si="18"/>
        <v>0.09433962264150944</v>
      </c>
      <c r="J202" s="6"/>
    </row>
    <row r="203" spans="1:10" ht="14.25" customHeight="1">
      <c r="A203" s="120" t="s">
        <v>40</v>
      </c>
      <c r="B203" s="29"/>
      <c r="C203" s="34">
        <v>412500</v>
      </c>
      <c r="D203" s="30" t="s">
        <v>200</v>
      </c>
      <c r="E203" s="161">
        <v>50000</v>
      </c>
      <c r="F203" s="161">
        <v>48600</v>
      </c>
      <c r="G203" s="161">
        <v>50000</v>
      </c>
      <c r="H203" s="341">
        <f t="shared" si="17"/>
        <v>100</v>
      </c>
      <c r="I203" s="227">
        <f t="shared" si="18"/>
        <v>0.3144654088050315</v>
      </c>
      <c r="J203" s="6"/>
    </row>
    <row r="204" spans="1:10" ht="12.75">
      <c r="A204" s="120" t="s">
        <v>40</v>
      </c>
      <c r="B204" s="29"/>
      <c r="C204" s="34">
        <v>412500</v>
      </c>
      <c r="D204" s="30" t="s">
        <v>41</v>
      </c>
      <c r="E204" s="161">
        <v>30000</v>
      </c>
      <c r="F204" s="161">
        <v>42400</v>
      </c>
      <c r="G204" s="161">
        <v>30000</v>
      </c>
      <c r="H204" s="341">
        <f t="shared" si="17"/>
        <v>100</v>
      </c>
      <c r="I204" s="227">
        <f t="shared" si="18"/>
        <v>0.18867924528301888</v>
      </c>
      <c r="J204" s="6"/>
    </row>
    <row r="205" spans="1:10" ht="12.75">
      <c r="A205" s="120" t="s">
        <v>40</v>
      </c>
      <c r="B205" s="29"/>
      <c r="C205" s="34">
        <v>412500</v>
      </c>
      <c r="D205" s="30" t="s">
        <v>42</v>
      </c>
      <c r="E205" s="161">
        <v>5000</v>
      </c>
      <c r="F205" s="161">
        <v>0</v>
      </c>
      <c r="G205" s="161">
        <v>5000</v>
      </c>
      <c r="H205" s="341">
        <f t="shared" si="17"/>
        <v>100</v>
      </c>
      <c r="I205" s="227">
        <f t="shared" si="18"/>
        <v>0.031446540880503145</v>
      </c>
      <c r="J205" s="6"/>
    </row>
    <row r="206" spans="1:10" ht="12.75">
      <c r="A206" s="120"/>
      <c r="B206" s="19">
        <v>415000</v>
      </c>
      <c r="C206" s="34"/>
      <c r="D206" s="42" t="s">
        <v>148</v>
      </c>
      <c r="E206" s="162">
        <f>SUM(E207:E208)</f>
        <v>3000</v>
      </c>
      <c r="F206" s="162">
        <f>SUM(F207:F208)</f>
        <v>1000</v>
      </c>
      <c r="G206" s="162">
        <f>SUM(G207:G209)</f>
        <v>100000</v>
      </c>
      <c r="H206" s="289">
        <f t="shared" si="17"/>
        <v>3333.3333333333335</v>
      </c>
      <c r="I206" s="253">
        <f t="shared" si="18"/>
        <v>0.628930817610063</v>
      </c>
      <c r="J206" s="6"/>
    </row>
    <row r="207" spans="1:10" ht="24.75" customHeight="1">
      <c r="A207" s="120" t="s">
        <v>37</v>
      </c>
      <c r="B207" s="19"/>
      <c r="C207" s="34">
        <v>415200</v>
      </c>
      <c r="D207" s="30" t="s">
        <v>548</v>
      </c>
      <c r="E207" s="170">
        <v>0</v>
      </c>
      <c r="F207" s="170">
        <v>1000</v>
      </c>
      <c r="G207" s="170">
        <v>0</v>
      </c>
      <c r="H207" s="341">
        <f t="shared" si="17"/>
        <v>0</v>
      </c>
      <c r="I207" s="227">
        <f t="shared" si="18"/>
        <v>0</v>
      </c>
      <c r="J207" s="6"/>
    </row>
    <row r="208" spans="1:10" ht="14.25" customHeight="1">
      <c r="A208" s="36" t="s">
        <v>37</v>
      </c>
      <c r="B208" s="29"/>
      <c r="C208" s="34">
        <v>415200</v>
      </c>
      <c r="D208" s="30" t="s">
        <v>487</v>
      </c>
      <c r="E208" s="161">
        <v>3000</v>
      </c>
      <c r="F208" s="161">
        <v>0</v>
      </c>
      <c r="G208" s="161">
        <v>0</v>
      </c>
      <c r="H208" s="341">
        <f t="shared" si="17"/>
        <v>0</v>
      </c>
      <c r="I208" s="227">
        <f t="shared" si="18"/>
        <v>0</v>
      </c>
      <c r="J208" s="6"/>
    </row>
    <row r="209" spans="1:10" ht="14.25" customHeight="1">
      <c r="A209" s="36" t="s">
        <v>595</v>
      </c>
      <c r="B209" s="29"/>
      <c r="C209" s="34">
        <v>415200</v>
      </c>
      <c r="D209" s="30" t="s">
        <v>597</v>
      </c>
      <c r="E209" s="161">
        <v>0</v>
      </c>
      <c r="F209" s="161">
        <v>0</v>
      </c>
      <c r="G209" s="161">
        <v>100000</v>
      </c>
      <c r="H209" s="341">
        <f t="shared" si="17"/>
        <v>0</v>
      </c>
      <c r="I209" s="227">
        <f t="shared" si="18"/>
        <v>0.628930817610063</v>
      </c>
      <c r="J209" s="6"/>
    </row>
    <row r="210" spans="1:10" ht="15" customHeight="1">
      <c r="A210" s="120"/>
      <c r="B210" s="29"/>
      <c r="C210" s="71"/>
      <c r="D210" s="42" t="s">
        <v>481</v>
      </c>
      <c r="E210" s="162">
        <f>E211+E220</f>
        <v>713000</v>
      </c>
      <c r="F210" s="162">
        <f>F211+F220</f>
        <v>982910</v>
      </c>
      <c r="G210" s="162">
        <f>G211+G220</f>
        <v>1400000</v>
      </c>
      <c r="H210" s="289">
        <f t="shared" si="17"/>
        <v>196.35343618513323</v>
      </c>
      <c r="I210" s="253">
        <f t="shared" si="18"/>
        <v>8.80503144654088</v>
      </c>
      <c r="J210" s="6"/>
    </row>
    <row r="211" spans="1:10" ht="15" customHeight="1">
      <c r="A211" s="120"/>
      <c r="B211" s="29"/>
      <c r="C211" s="71"/>
      <c r="D211" s="42" t="s">
        <v>352</v>
      </c>
      <c r="E211" s="259">
        <f>SUM(E213:E219)</f>
        <v>713000</v>
      </c>
      <c r="F211" s="259">
        <f>SUM(F213:F219)</f>
        <v>982910</v>
      </c>
      <c r="G211" s="259">
        <f>SUM(G212:G219)</f>
        <v>1400000</v>
      </c>
      <c r="H211" s="439">
        <f t="shared" si="17"/>
        <v>196.35343618513323</v>
      </c>
      <c r="I211" s="260">
        <f t="shared" si="18"/>
        <v>8.80503144654088</v>
      </c>
      <c r="J211" s="6"/>
    </row>
    <row r="212" spans="1:10" ht="22.5" customHeight="1">
      <c r="A212" s="337" t="s">
        <v>37</v>
      </c>
      <c r="B212" s="338"/>
      <c r="C212" s="339">
        <v>511100</v>
      </c>
      <c r="D212" s="340" t="s">
        <v>593</v>
      </c>
      <c r="E212" s="367">
        <v>0</v>
      </c>
      <c r="F212" s="367">
        <v>0</v>
      </c>
      <c r="G212" s="367">
        <v>80000</v>
      </c>
      <c r="H212" s="291">
        <f t="shared" si="17"/>
        <v>0</v>
      </c>
      <c r="I212" s="227">
        <f t="shared" si="18"/>
        <v>0.5031446540880503</v>
      </c>
      <c r="J212" s="51"/>
    </row>
    <row r="213" spans="1:10" ht="36" customHeight="1">
      <c r="A213" s="337" t="s">
        <v>37</v>
      </c>
      <c r="B213" s="338"/>
      <c r="C213" s="339">
        <v>511200</v>
      </c>
      <c r="D213" s="340" t="s">
        <v>334</v>
      </c>
      <c r="E213" s="367">
        <v>703000</v>
      </c>
      <c r="F213" s="367">
        <v>743000</v>
      </c>
      <c r="G213" s="367">
        <v>1310000</v>
      </c>
      <c r="H213" s="341">
        <f t="shared" si="17"/>
        <v>186.34423897581794</v>
      </c>
      <c r="I213" s="342">
        <f t="shared" si="18"/>
        <v>8.238993710691824</v>
      </c>
      <c r="J213" s="6"/>
    </row>
    <row r="214" spans="1:10" ht="24.75" customHeight="1">
      <c r="A214" s="394" t="s">
        <v>37</v>
      </c>
      <c r="B214" s="338"/>
      <c r="C214" s="339">
        <v>511200</v>
      </c>
      <c r="D214" s="340" t="s">
        <v>567</v>
      </c>
      <c r="E214" s="367">
        <v>0</v>
      </c>
      <c r="F214" s="367">
        <v>150000</v>
      </c>
      <c r="G214" s="367">
        <v>0</v>
      </c>
      <c r="H214" s="341">
        <f t="shared" si="17"/>
        <v>0</v>
      </c>
      <c r="I214" s="342">
        <f t="shared" si="18"/>
        <v>0</v>
      </c>
      <c r="J214" s="6"/>
    </row>
    <row r="215" spans="1:10" ht="37.5" customHeight="1">
      <c r="A215" s="36" t="s">
        <v>37</v>
      </c>
      <c r="B215" s="83"/>
      <c r="C215" s="84">
        <v>511200</v>
      </c>
      <c r="D215" s="82" t="s">
        <v>568</v>
      </c>
      <c r="E215" s="161">
        <v>0</v>
      </c>
      <c r="F215" s="161">
        <v>25000</v>
      </c>
      <c r="G215" s="161">
        <v>0</v>
      </c>
      <c r="H215" s="341">
        <f t="shared" si="17"/>
        <v>0</v>
      </c>
      <c r="I215" s="342">
        <f t="shared" si="18"/>
        <v>0</v>
      </c>
      <c r="J215" s="6"/>
    </row>
    <row r="216" spans="1:10" ht="37.5" customHeight="1">
      <c r="A216" s="36" t="s">
        <v>37</v>
      </c>
      <c r="B216" s="83"/>
      <c r="C216" s="84">
        <v>511200</v>
      </c>
      <c r="D216" s="82" t="s">
        <v>569</v>
      </c>
      <c r="E216" s="161">
        <v>0</v>
      </c>
      <c r="F216" s="161">
        <v>10000</v>
      </c>
      <c r="G216" s="161">
        <v>0</v>
      </c>
      <c r="H216" s="341">
        <f t="shared" si="17"/>
        <v>0</v>
      </c>
      <c r="I216" s="342">
        <f t="shared" si="18"/>
        <v>0</v>
      </c>
      <c r="J216" s="6"/>
    </row>
    <row r="217" spans="1:10" ht="37.5" customHeight="1">
      <c r="A217" s="36" t="s">
        <v>37</v>
      </c>
      <c r="B217" s="83"/>
      <c r="C217" s="84">
        <v>511200</v>
      </c>
      <c r="D217" s="82" t="s">
        <v>575</v>
      </c>
      <c r="E217" s="161">
        <v>0</v>
      </c>
      <c r="F217" s="161">
        <v>19821</v>
      </c>
      <c r="G217" s="161">
        <v>0</v>
      </c>
      <c r="H217" s="341">
        <f t="shared" si="17"/>
        <v>0</v>
      </c>
      <c r="I217" s="342">
        <f t="shared" si="18"/>
        <v>0</v>
      </c>
      <c r="J217" s="6"/>
    </row>
    <row r="218" spans="1:10" ht="28.5" customHeight="1">
      <c r="A218" s="36" t="s">
        <v>37</v>
      </c>
      <c r="B218" s="83"/>
      <c r="C218" s="84">
        <v>511200</v>
      </c>
      <c r="D218" s="82" t="s">
        <v>576</v>
      </c>
      <c r="E218" s="161">
        <v>0</v>
      </c>
      <c r="F218" s="161">
        <v>35089</v>
      </c>
      <c r="G218" s="161">
        <v>0</v>
      </c>
      <c r="H218" s="341">
        <f t="shared" si="17"/>
        <v>0</v>
      </c>
      <c r="I218" s="342">
        <f t="shared" si="18"/>
        <v>0</v>
      </c>
      <c r="J218" s="6"/>
    </row>
    <row r="219" spans="1:10" ht="15.75" customHeight="1">
      <c r="A219" s="37" t="s">
        <v>37</v>
      </c>
      <c r="B219" s="83"/>
      <c r="C219" s="84">
        <v>511200</v>
      </c>
      <c r="D219" s="82" t="s">
        <v>208</v>
      </c>
      <c r="E219" s="161">
        <v>10000</v>
      </c>
      <c r="F219" s="161">
        <v>0</v>
      </c>
      <c r="G219" s="161">
        <v>10000</v>
      </c>
      <c r="H219" s="341">
        <f t="shared" si="17"/>
        <v>100</v>
      </c>
      <c r="I219" s="227">
        <f t="shared" si="18"/>
        <v>0.06289308176100629</v>
      </c>
      <c r="J219" s="6"/>
    </row>
    <row r="220" spans="1:10" ht="9.75" customHeight="1" hidden="1">
      <c r="A220" s="37"/>
      <c r="B220" s="83"/>
      <c r="C220" s="84"/>
      <c r="D220" s="134" t="s">
        <v>353</v>
      </c>
      <c r="E220" s="259">
        <f>SUM(E221:E222)</f>
        <v>0</v>
      </c>
      <c r="F220" s="259">
        <f>SUM(F221:F222)</f>
        <v>0</v>
      </c>
      <c r="G220" s="259">
        <f>SUM(G221:G222)</f>
        <v>0</v>
      </c>
      <c r="H220" s="341">
        <f t="shared" si="17"/>
        <v>0</v>
      </c>
      <c r="I220" s="260">
        <f t="shared" si="18"/>
        <v>0</v>
      </c>
      <c r="J220" s="6"/>
    </row>
    <row r="221" spans="1:10" ht="18" customHeight="1" hidden="1">
      <c r="A221" s="37" t="s">
        <v>37</v>
      </c>
      <c r="B221" s="83"/>
      <c r="C221" s="84">
        <v>511200</v>
      </c>
      <c r="D221" s="82" t="s">
        <v>482</v>
      </c>
      <c r="E221" s="161">
        <v>0</v>
      </c>
      <c r="F221" s="161"/>
      <c r="G221" s="161"/>
      <c r="H221" s="341">
        <f t="shared" si="17"/>
        <v>0</v>
      </c>
      <c r="I221" s="311">
        <f t="shared" si="18"/>
        <v>0</v>
      </c>
      <c r="J221" s="6"/>
    </row>
    <row r="222" spans="1:10" ht="3.75" customHeight="1" hidden="1">
      <c r="A222" s="37"/>
      <c r="B222" s="83"/>
      <c r="C222" s="84"/>
      <c r="D222" s="82"/>
      <c r="E222" s="366">
        <v>0</v>
      </c>
      <c r="F222" s="366">
        <v>0</v>
      </c>
      <c r="G222" s="366"/>
      <c r="H222" s="341">
        <f t="shared" si="17"/>
        <v>0</v>
      </c>
      <c r="I222" s="311">
        <f t="shared" si="18"/>
        <v>0</v>
      </c>
      <c r="J222" s="6"/>
    </row>
    <row r="223" spans="1:10" ht="27" customHeight="1">
      <c r="A223" s="579"/>
      <c r="B223" s="580"/>
      <c r="C223" s="546" t="s">
        <v>83</v>
      </c>
      <c r="D223" s="547"/>
      <c r="E223" s="60">
        <f>E183+E189+E199+E206+E210</f>
        <v>1693400</v>
      </c>
      <c r="F223" s="60">
        <f>F183+F189+F199+F206+F210</f>
        <v>2045540</v>
      </c>
      <c r="G223" s="60">
        <f>G183+G189+G199+G206+G210</f>
        <v>2541400</v>
      </c>
      <c r="H223" s="435">
        <f t="shared" si="17"/>
        <v>150.07676863115626</v>
      </c>
      <c r="I223" s="262">
        <f t="shared" si="18"/>
        <v>15.983647798742137</v>
      </c>
      <c r="J223" s="6"/>
    </row>
    <row r="224" spans="1:10" ht="9.75" customHeight="1">
      <c r="A224" s="550"/>
      <c r="B224" s="551"/>
      <c r="C224" s="544" t="s">
        <v>584</v>
      </c>
      <c r="D224" s="545"/>
      <c r="E224" s="149"/>
      <c r="F224" s="149"/>
      <c r="G224" s="149"/>
      <c r="H224" s="149"/>
      <c r="I224" s="300"/>
      <c r="J224" s="6"/>
    </row>
    <row r="225" spans="1:10" ht="9.75" customHeight="1">
      <c r="A225" s="550"/>
      <c r="B225" s="551"/>
      <c r="C225" s="544"/>
      <c r="D225" s="545"/>
      <c r="E225" s="150"/>
      <c r="F225" s="150"/>
      <c r="G225" s="150"/>
      <c r="H225" s="150"/>
      <c r="I225" s="301"/>
      <c r="J225" s="6"/>
    </row>
    <row r="226" spans="1:10" ht="9.75" customHeight="1">
      <c r="A226" s="550"/>
      <c r="B226" s="551"/>
      <c r="C226" s="544"/>
      <c r="D226" s="545"/>
      <c r="E226" s="150"/>
      <c r="F226" s="150"/>
      <c r="G226" s="150"/>
      <c r="H226" s="150"/>
      <c r="I226" s="301"/>
      <c r="J226" s="6"/>
    </row>
    <row r="227" spans="1:10" ht="5.25" customHeight="1">
      <c r="A227" s="550"/>
      <c r="B227" s="551"/>
      <c r="C227" s="544"/>
      <c r="D227" s="545"/>
      <c r="E227" s="151"/>
      <c r="F227" s="151"/>
      <c r="G227" s="151"/>
      <c r="H227" s="151"/>
      <c r="I227" s="302"/>
      <c r="J227" s="6"/>
    </row>
    <row r="228" spans="1:10" ht="14.25" customHeight="1">
      <c r="A228" s="120"/>
      <c r="B228" s="19">
        <v>412000</v>
      </c>
      <c r="C228" s="13"/>
      <c r="D228" s="28" t="s">
        <v>134</v>
      </c>
      <c r="E228" s="289">
        <f>SUM(E229:E231)</f>
        <v>7700</v>
      </c>
      <c r="F228" s="289">
        <f>SUM(F229:F231)</f>
        <v>7680</v>
      </c>
      <c r="G228" s="289">
        <f>SUM(G229:G231)</f>
        <v>7700</v>
      </c>
      <c r="H228" s="289">
        <f aca="true" t="shared" si="19" ref="H228:H261">IF(E228&gt;0,G228/E228*100,0)</f>
        <v>100</v>
      </c>
      <c r="I228" s="288">
        <f aca="true" t="shared" si="20" ref="I228:I261">G228/$G$534*100</f>
        <v>0.048427672955974846</v>
      </c>
      <c r="J228" s="6"/>
    </row>
    <row r="229" spans="1:10" ht="15" customHeight="1">
      <c r="A229" s="120" t="s">
        <v>32</v>
      </c>
      <c r="B229" s="29"/>
      <c r="C229" s="13">
        <v>412500</v>
      </c>
      <c r="D229" s="30" t="s">
        <v>131</v>
      </c>
      <c r="E229" s="170">
        <v>7000</v>
      </c>
      <c r="F229" s="161">
        <v>7000</v>
      </c>
      <c r="G229" s="170">
        <v>7000</v>
      </c>
      <c r="H229" s="341">
        <f t="shared" si="19"/>
        <v>100</v>
      </c>
      <c r="I229" s="227">
        <f t="shared" si="20"/>
        <v>0.0440251572327044</v>
      </c>
      <c r="J229" s="6"/>
    </row>
    <row r="230" spans="1:10" ht="12.75" customHeight="1">
      <c r="A230" s="120" t="s">
        <v>24</v>
      </c>
      <c r="B230" s="29"/>
      <c r="C230" s="13">
        <v>412900</v>
      </c>
      <c r="D230" s="26" t="s">
        <v>0</v>
      </c>
      <c r="E230" s="170">
        <v>400</v>
      </c>
      <c r="F230" s="170">
        <v>388</v>
      </c>
      <c r="G230" s="170">
        <v>400</v>
      </c>
      <c r="H230" s="341">
        <f t="shared" si="19"/>
        <v>100</v>
      </c>
      <c r="I230" s="227">
        <f t="shared" si="20"/>
        <v>0.002515723270440252</v>
      </c>
      <c r="J230" s="6"/>
    </row>
    <row r="231" spans="1:10" ht="24" customHeight="1">
      <c r="A231" s="36" t="s">
        <v>33</v>
      </c>
      <c r="B231" s="29"/>
      <c r="C231" s="13">
        <v>412900</v>
      </c>
      <c r="D231" s="26" t="s">
        <v>108</v>
      </c>
      <c r="E231" s="170">
        <v>300</v>
      </c>
      <c r="F231" s="170">
        <v>292</v>
      </c>
      <c r="G231" s="170">
        <v>300</v>
      </c>
      <c r="H231" s="341">
        <f t="shared" si="19"/>
        <v>100</v>
      </c>
      <c r="I231" s="227">
        <f t="shared" si="20"/>
        <v>0.0018867924528301887</v>
      </c>
      <c r="J231" s="6"/>
    </row>
    <row r="232" spans="1:10" ht="12.75" customHeight="1">
      <c r="A232" s="36"/>
      <c r="B232" s="80">
        <v>415000</v>
      </c>
      <c r="C232" s="13"/>
      <c r="D232" s="50" t="s">
        <v>148</v>
      </c>
      <c r="E232" s="162">
        <f>SUM(E233:E247)</f>
        <v>238300</v>
      </c>
      <c r="F232" s="162">
        <f>SUM(F233:F247)</f>
        <v>227700</v>
      </c>
      <c r="G232" s="162">
        <f>SUM(G233:G247)</f>
        <v>243300</v>
      </c>
      <c r="H232" s="289">
        <f t="shared" si="19"/>
        <v>102.09819555182543</v>
      </c>
      <c r="I232" s="253">
        <f t="shared" si="20"/>
        <v>1.530188679245283</v>
      </c>
      <c r="J232" s="6"/>
    </row>
    <row r="233" spans="1:10" ht="12.75" customHeight="1">
      <c r="A233" s="120" t="s">
        <v>43</v>
      </c>
      <c r="B233" s="85"/>
      <c r="C233" s="53">
        <v>415200</v>
      </c>
      <c r="D233" s="45" t="s">
        <v>215</v>
      </c>
      <c r="E233" s="161">
        <v>95000</v>
      </c>
      <c r="F233" s="161">
        <v>89300</v>
      </c>
      <c r="G233" s="161">
        <v>100000</v>
      </c>
      <c r="H233" s="341">
        <f t="shared" si="19"/>
        <v>105.26315789473684</v>
      </c>
      <c r="I233" s="227">
        <f t="shared" si="20"/>
        <v>0.628930817610063</v>
      </c>
      <c r="J233" s="6"/>
    </row>
    <row r="234" spans="1:10" ht="12.75" customHeight="1">
      <c r="A234" s="120" t="s">
        <v>43</v>
      </c>
      <c r="B234" s="85"/>
      <c r="C234" s="53">
        <v>415200</v>
      </c>
      <c r="D234" s="45" t="s">
        <v>320</v>
      </c>
      <c r="E234" s="161">
        <v>0</v>
      </c>
      <c r="F234" s="161">
        <v>1500</v>
      </c>
      <c r="G234" s="161">
        <v>0</v>
      </c>
      <c r="H234" s="341">
        <f t="shared" si="19"/>
        <v>0</v>
      </c>
      <c r="I234" s="227">
        <f t="shared" si="20"/>
        <v>0</v>
      </c>
      <c r="J234" s="6"/>
    </row>
    <row r="235" spans="1:10" ht="24">
      <c r="A235" s="120" t="s">
        <v>43</v>
      </c>
      <c r="B235" s="85"/>
      <c r="C235" s="53">
        <v>415200</v>
      </c>
      <c r="D235" s="45" t="s">
        <v>347</v>
      </c>
      <c r="E235" s="161">
        <v>30000</v>
      </c>
      <c r="F235" s="161">
        <v>30000</v>
      </c>
      <c r="G235" s="161">
        <v>30000</v>
      </c>
      <c r="H235" s="341">
        <f t="shared" si="19"/>
        <v>100</v>
      </c>
      <c r="I235" s="227">
        <f t="shared" si="20"/>
        <v>0.18867924528301888</v>
      </c>
      <c r="J235" s="6"/>
    </row>
    <row r="236" spans="1:10" ht="12.75" customHeight="1">
      <c r="A236" s="120" t="s">
        <v>43</v>
      </c>
      <c r="B236" s="85"/>
      <c r="C236" s="53">
        <v>415200</v>
      </c>
      <c r="D236" s="45" t="s">
        <v>216</v>
      </c>
      <c r="E236" s="161">
        <v>26000</v>
      </c>
      <c r="F236" s="161">
        <v>23400</v>
      </c>
      <c r="G236" s="161">
        <v>26000</v>
      </c>
      <c r="H236" s="341">
        <f t="shared" si="19"/>
        <v>100</v>
      </c>
      <c r="I236" s="227">
        <f t="shared" si="20"/>
        <v>0.16352201257861634</v>
      </c>
      <c r="J236" s="6"/>
    </row>
    <row r="237" spans="1:10" ht="24">
      <c r="A237" s="120" t="s">
        <v>43</v>
      </c>
      <c r="B237" s="85"/>
      <c r="C237" s="53">
        <v>415200</v>
      </c>
      <c r="D237" s="45" t="s">
        <v>217</v>
      </c>
      <c r="E237" s="161">
        <v>31000</v>
      </c>
      <c r="F237" s="161">
        <v>27900</v>
      </c>
      <c r="G237" s="161">
        <v>31000</v>
      </c>
      <c r="H237" s="341">
        <f t="shared" si="19"/>
        <v>100</v>
      </c>
      <c r="I237" s="227">
        <f t="shared" si="20"/>
        <v>0.19496855345911948</v>
      </c>
      <c r="J237" s="6"/>
    </row>
    <row r="238" spans="1:10" ht="13.5" customHeight="1">
      <c r="A238" s="120" t="s">
        <v>43</v>
      </c>
      <c r="B238" s="85"/>
      <c r="C238" s="53">
        <v>415200</v>
      </c>
      <c r="D238" s="45" t="s">
        <v>318</v>
      </c>
      <c r="E238" s="161">
        <v>7000</v>
      </c>
      <c r="F238" s="161">
        <v>6300</v>
      </c>
      <c r="G238" s="161">
        <v>7000</v>
      </c>
      <c r="H238" s="341">
        <f t="shared" si="19"/>
        <v>100</v>
      </c>
      <c r="I238" s="227">
        <f t="shared" si="20"/>
        <v>0.0440251572327044</v>
      </c>
      <c r="J238" s="6"/>
    </row>
    <row r="239" spans="1:10" ht="13.5" customHeight="1">
      <c r="A239" s="120" t="s">
        <v>43</v>
      </c>
      <c r="B239" s="85"/>
      <c r="C239" s="53">
        <v>415200</v>
      </c>
      <c r="D239" s="45" t="s">
        <v>218</v>
      </c>
      <c r="E239" s="161">
        <v>5000</v>
      </c>
      <c r="F239" s="161">
        <v>4500</v>
      </c>
      <c r="G239" s="161">
        <v>5000</v>
      </c>
      <c r="H239" s="341">
        <f t="shared" si="19"/>
        <v>100</v>
      </c>
      <c r="I239" s="227">
        <f t="shared" si="20"/>
        <v>0.031446540880503145</v>
      </c>
      <c r="J239" s="6"/>
    </row>
    <row r="240" spans="1:10" ht="13.5" customHeight="1" hidden="1">
      <c r="A240" s="120" t="s">
        <v>43</v>
      </c>
      <c r="B240" s="85"/>
      <c r="C240" s="53">
        <v>415200</v>
      </c>
      <c r="D240" s="45" t="s">
        <v>550</v>
      </c>
      <c r="E240" s="161">
        <v>0</v>
      </c>
      <c r="F240" s="161">
        <v>0</v>
      </c>
      <c r="G240" s="161">
        <v>0</v>
      </c>
      <c r="H240" s="341">
        <f t="shared" si="19"/>
        <v>0</v>
      </c>
      <c r="I240" s="227">
        <f t="shared" si="20"/>
        <v>0</v>
      </c>
      <c r="J240" s="6"/>
    </row>
    <row r="241" spans="1:10" ht="13.5" customHeight="1">
      <c r="A241" s="120" t="s">
        <v>43</v>
      </c>
      <c r="B241" s="85"/>
      <c r="C241" s="53">
        <v>415200</v>
      </c>
      <c r="D241" s="45" t="s">
        <v>407</v>
      </c>
      <c r="E241" s="161">
        <v>5000</v>
      </c>
      <c r="F241" s="161">
        <v>4500</v>
      </c>
      <c r="G241" s="161">
        <v>5000</v>
      </c>
      <c r="H241" s="341">
        <f t="shared" si="19"/>
        <v>100</v>
      </c>
      <c r="I241" s="227">
        <f t="shared" si="20"/>
        <v>0.031446540880503145</v>
      </c>
      <c r="J241" s="6"/>
    </row>
    <row r="242" spans="1:10" ht="24">
      <c r="A242" s="120" t="s">
        <v>43</v>
      </c>
      <c r="B242" s="85"/>
      <c r="C242" s="53">
        <v>415200</v>
      </c>
      <c r="D242" s="45" t="s">
        <v>580</v>
      </c>
      <c r="E242" s="170">
        <v>2800</v>
      </c>
      <c r="F242" s="170">
        <v>3800</v>
      </c>
      <c r="G242" s="170">
        <v>2800</v>
      </c>
      <c r="H242" s="341">
        <f t="shared" si="19"/>
        <v>100</v>
      </c>
      <c r="I242" s="227">
        <f t="shared" si="20"/>
        <v>0.01761006289308176</v>
      </c>
      <c r="J242" s="6"/>
    </row>
    <row r="243" spans="1:10" ht="36" hidden="1">
      <c r="A243" s="120" t="s">
        <v>43</v>
      </c>
      <c r="B243" s="85"/>
      <c r="C243" s="53">
        <v>415200</v>
      </c>
      <c r="D243" s="45" t="s">
        <v>488</v>
      </c>
      <c r="E243" s="170">
        <v>0</v>
      </c>
      <c r="F243" s="170"/>
      <c r="G243" s="170"/>
      <c r="H243" s="341">
        <f t="shared" si="19"/>
        <v>0</v>
      </c>
      <c r="I243" s="227">
        <f t="shared" si="20"/>
        <v>0</v>
      </c>
      <c r="J243" s="6"/>
    </row>
    <row r="244" spans="1:10" ht="24">
      <c r="A244" s="120" t="s">
        <v>43</v>
      </c>
      <c r="B244" s="85"/>
      <c r="C244" s="53">
        <v>415200</v>
      </c>
      <c r="D244" s="45" t="s">
        <v>270</v>
      </c>
      <c r="E244" s="170">
        <v>6000</v>
      </c>
      <c r="F244" s="170">
        <v>6220</v>
      </c>
      <c r="G244" s="170">
        <v>6000</v>
      </c>
      <c r="H244" s="341">
        <f t="shared" si="19"/>
        <v>100</v>
      </c>
      <c r="I244" s="227">
        <f t="shared" si="20"/>
        <v>0.03773584905660377</v>
      </c>
      <c r="J244" s="6"/>
    </row>
    <row r="245" spans="1:10" ht="24" customHeight="1">
      <c r="A245" s="36" t="s">
        <v>43</v>
      </c>
      <c r="B245" s="86"/>
      <c r="C245" s="84">
        <v>415200</v>
      </c>
      <c r="D245" s="82" t="s">
        <v>205</v>
      </c>
      <c r="E245" s="161">
        <v>30000</v>
      </c>
      <c r="F245" s="161">
        <v>30000</v>
      </c>
      <c r="G245" s="161">
        <v>30000</v>
      </c>
      <c r="H245" s="341">
        <f t="shared" si="19"/>
        <v>100</v>
      </c>
      <c r="I245" s="227">
        <f t="shared" si="20"/>
        <v>0.18867924528301888</v>
      </c>
      <c r="J245" s="6"/>
    </row>
    <row r="246" spans="1:10" ht="36">
      <c r="A246" s="37" t="s">
        <v>43</v>
      </c>
      <c r="B246" s="86"/>
      <c r="C246" s="84">
        <v>415200</v>
      </c>
      <c r="D246" s="82" t="s">
        <v>360</v>
      </c>
      <c r="E246" s="170">
        <v>500</v>
      </c>
      <c r="F246" s="170">
        <v>280</v>
      </c>
      <c r="G246" s="170">
        <v>500</v>
      </c>
      <c r="H246" s="341">
        <f t="shared" si="19"/>
        <v>100</v>
      </c>
      <c r="I246" s="227">
        <f t="shared" si="20"/>
        <v>0.003144654088050314</v>
      </c>
      <c r="J246" s="6"/>
    </row>
    <row r="247" spans="1:10" ht="12.75" hidden="1">
      <c r="A247" s="37" t="s">
        <v>43</v>
      </c>
      <c r="B247" s="86"/>
      <c r="C247" s="84">
        <v>415200</v>
      </c>
      <c r="D247" s="82" t="s">
        <v>551</v>
      </c>
      <c r="E247" s="170">
        <v>0</v>
      </c>
      <c r="F247" s="170">
        <v>0</v>
      </c>
      <c r="G247" s="170">
        <v>0</v>
      </c>
      <c r="H247" s="341">
        <f t="shared" si="19"/>
        <v>0</v>
      </c>
      <c r="I247" s="227">
        <f t="shared" si="20"/>
        <v>0</v>
      </c>
      <c r="J247" s="6"/>
    </row>
    <row r="248" spans="1:10" ht="14.25" customHeight="1">
      <c r="A248" s="37"/>
      <c r="B248" s="83">
        <v>416000</v>
      </c>
      <c r="C248" s="133"/>
      <c r="D248" s="134" t="s">
        <v>1</v>
      </c>
      <c r="E248" s="186">
        <f>SUM(E249:E250)</f>
        <v>61000</v>
      </c>
      <c r="F248" s="186">
        <f>SUM(F249:F250)</f>
        <v>56200</v>
      </c>
      <c r="G248" s="186">
        <f>SUM(G249:G250)</f>
        <v>45000</v>
      </c>
      <c r="H248" s="289">
        <f t="shared" si="19"/>
        <v>73.77049180327869</v>
      </c>
      <c r="I248" s="253">
        <f t="shared" si="20"/>
        <v>0.2830188679245283</v>
      </c>
      <c r="J248" s="95"/>
    </row>
    <row r="249" spans="1:10" ht="24.75" customHeight="1">
      <c r="A249" s="37" t="s">
        <v>29</v>
      </c>
      <c r="B249" s="132"/>
      <c r="C249" s="33">
        <v>416100</v>
      </c>
      <c r="D249" s="39" t="s">
        <v>272</v>
      </c>
      <c r="E249" s="212">
        <v>40000</v>
      </c>
      <c r="F249" s="212">
        <v>35200</v>
      </c>
      <c r="G249" s="212">
        <v>45000</v>
      </c>
      <c r="H249" s="341">
        <f t="shared" si="19"/>
        <v>112.5</v>
      </c>
      <c r="I249" s="227">
        <f t="shared" si="20"/>
        <v>0.2830188679245283</v>
      </c>
      <c r="J249" s="95"/>
    </row>
    <row r="250" spans="1:10" ht="26.25" customHeight="1">
      <c r="A250" s="37" t="s">
        <v>29</v>
      </c>
      <c r="B250" s="132"/>
      <c r="C250" s="33">
        <v>416100</v>
      </c>
      <c r="D250" s="39" t="s">
        <v>511</v>
      </c>
      <c r="E250" s="212">
        <v>21000</v>
      </c>
      <c r="F250" s="212">
        <v>21000</v>
      </c>
      <c r="G250" s="212">
        <v>0</v>
      </c>
      <c r="H250" s="341">
        <f t="shared" si="19"/>
        <v>0</v>
      </c>
      <c r="I250" s="227">
        <f t="shared" si="20"/>
        <v>0</v>
      </c>
      <c r="J250" s="179"/>
    </row>
    <row r="251" spans="1:10" ht="15" customHeight="1" hidden="1">
      <c r="A251" s="120"/>
      <c r="B251" s="19">
        <v>511000</v>
      </c>
      <c r="C251" s="33"/>
      <c r="D251" s="28" t="s">
        <v>152</v>
      </c>
      <c r="E251" s="162">
        <f>SUM(E252:E253)</f>
        <v>0</v>
      </c>
      <c r="F251" s="162">
        <f>SUM(F252:F253)</f>
        <v>0</v>
      </c>
      <c r="G251" s="162">
        <f>SUM(G252:G253)</f>
        <v>0</v>
      </c>
      <c r="H251" s="289">
        <f t="shared" si="19"/>
        <v>0</v>
      </c>
      <c r="I251" s="253">
        <f t="shared" si="20"/>
        <v>0</v>
      </c>
      <c r="J251" s="6"/>
    </row>
    <row r="252" spans="1:10" ht="48" hidden="1">
      <c r="A252" s="120" t="s">
        <v>43</v>
      </c>
      <c r="B252" s="19"/>
      <c r="C252" s="33">
        <v>511100</v>
      </c>
      <c r="D252" s="45" t="s">
        <v>502</v>
      </c>
      <c r="E252" s="170">
        <v>0</v>
      </c>
      <c r="F252" s="170"/>
      <c r="G252" s="170"/>
      <c r="H252" s="289">
        <f t="shared" si="19"/>
        <v>0</v>
      </c>
      <c r="I252" s="227">
        <f t="shared" si="20"/>
        <v>0</v>
      </c>
      <c r="J252" s="6"/>
    </row>
    <row r="253" spans="1:10" ht="24" hidden="1">
      <c r="A253" s="120" t="s">
        <v>43</v>
      </c>
      <c r="B253" s="19"/>
      <c r="C253" s="33">
        <v>511100</v>
      </c>
      <c r="D253" s="26" t="s">
        <v>277</v>
      </c>
      <c r="E253" s="170">
        <v>0</v>
      </c>
      <c r="F253" s="170"/>
      <c r="G253" s="170"/>
      <c r="H253" s="289">
        <f t="shared" si="19"/>
        <v>0</v>
      </c>
      <c r="I253" s="227">
        <f t="shared" si="20"/>
        <v>0</v>
      </c>
      <c r="J253" s="6"/>
    </row>
    <row r="254" spans="1:10" ht="23.25" customHeight="1" hidden="1">
      <c r="A254" s="120" t="s">
        <v>43</v>
      </c>
      <c r="B254" s="19"/>
      <c r="C254" s="33">
        <v>511100</v>
      </c>
      <c r="D254" s="26" t="s">
        <v>485</v>
      </c>
      <c r="E254" s="170"/>
      <c r="F254" s="170"/>
      <c r="G254" s="170"/>
      <c r="H254" s="289">
        <f t="shared" si="19"/>
        <v>0</v>
      </c>
      <c r="I254" s="227">
        <f t="shared" si="20"/>
        <v>0</v>
      </c>
      <c r="J254" s="6"/>
    </row>
    <row r="255" spans="1:10" ht="24">
      <c r="A255" s="120"/>
      <c r="B255" s="19"/>
      <c r="C255" s="33"/>
      <c r="D255" s="28" t="s">
        <v>331</v>
      </c>
      <c r="E255" s="268">
        <f>SUM(E256:E260)</f>
        <v>43000</v>
      </c>
      <c r="F255" s="268">
        <f>SUM(F256:F260)</f>
        <v>42328</v>
      </c>
      <c r="G255" s="268">
        <f>SUM(G256:G260)</f>
        <v>0</v>
      </c>
      <c r="H255" s="289">
        <f t="shared" si="19"/>
        <v>0</v>
      </c>
      <c r="I255" s="343">
        <f t="shared" si="20"/>
        <v>0</v>
      </c>
      <c r="J255" s="6"/>
    </row>
    <row r="256" spans="1:10" ht="12.75">
      <c r="A256" s="120" t="s">
        <v>55</v>
      </c>
      <c r="B256" s="19"/>
      <c r="C256" s="33">
        <v>412900</v>
      </c>
      <c r="D256" s="26" t="s">
        <v>312</v>
      </c>
      <c r="E256" s="256">
        <v>2000</v>
      </c>
      <c r="F256" s="256">
        <v>1944</v>
      </c>
      <c r="G256" s="256">
        <v>0</v>
      </c>
      <c r="H256" s="341">
        <f t="shared" si="19"/>
        <v>0</v>
      </c>
      <c r="I256" s="227">
        <f t="shared" si="20"/>
        <v>0</v>
      </c>
      <c r="J256" s="6"/>
    </row>
    <row r="257" spans="1:10" ht="23.25" customHeight="1">
      <c r="A257" s="120" t="s">
        <v>55</v>
      </c>
      <c r="B257" s="19"/>
      <c r="C257" s="33">
        <v>412900</v>
      </c>
      <c r="D257" s="26" t="s">
        <v>359</v>
      </c>
      <c r="E257" s="256">
        <v>2000</v>
      </c>
      <c r="F257" s="256">
        <v>1944</v>
      </c>
      <c r="G257" s="256">
        <v>0</v>
      </c>
      <c r="H257" s="341">
        <f t="shared" si="19"/>
        <v>0</v>
      </c>
      <c r="I257" s="227">
        <f t="shared" si="20"/>
        <v>0</v>
      </c>
      <c r="J257" s="6"/>
    </row>
    <row r="258" spans="1:10" ht="24" customHeight="1">
      <c r="A258" s="120" t="s">
        <v>29</v>
      </c>
      <c r="B258" s="19"/>
      <c r="C258" s="33">
        <v>415200</v>
      </c>
      <c r="D258" s="45" t="s">
        <v>508</v>
      </c>
      <c r="E258" s="211">
        <v>15000</v>
      </c>
      <c r="F258" s="211">
        <v>30000</v>
      </c>
      <c r="G258" s="211">
        <v>0</v>
      </c>
      <c r="H258" s="341">
        <f t="shared" si="19"/>
        <v>0</v>
      </c>
      <c r="I258" s="227">
        <f t="shared" si="20"/>
        <v>0</v>
      </c>
      <c r="J258" s="6"/>
    </row>
    <row r="259" spans="1:10" ht="13.5" customHeight="1">
      <c r="A259" s="120" t="s">
        <v>29</v>
      </c>
      <c r="B259" s="19"/>
      <c r="C259" s="33">
        <v>416100</v>
      </c>
      <c r="D259" s="26" t="s">
        <v>214</v>
      </c>
      <c r="E259" s="256">
        <v>20000</v>
      </c>
      <c r="F259" s="256">
        <v>4440</v>
      </c>
      <c r="G259" s="256">
        <v>0</v>
      </c>
      <c r="H259" s="341">
        <f t="shared" si="19"/>
        <v>0</v>
      </c>
      <c r="I259" s="227">
        <f t="shared" si="20"/>
        <v>0</v>
      </c>
      <c r="J259" s="6"/>
    </row>
    <row r="260" spans="1:10" ht="12.75">
      <c r="A260" s="120" t="s">
        <v>55</v>
      </c>
      <c r="B260" s="19"/>
      <c r="C260" s="33">
        <v>511300</v>
      </c>
      <c r="D260" s="26" t="s">
        <v>313</v>
      </c>
      <c r="E260" s="256">
        <v>4000</v>
      </c>
      <c r="F260" s="256">
        <v>4000</v>
      </c>
      <c r="G260" s="256">
        <v>0</v>
      </c>
      <c r="H260" s="341">
        <f t="shared" si="19"/>
        <v>0</v>
      </c>
      <c r="I260" s="227">
        <f t="shared" si="20"/>
        <v>0</v>
      </c>
      <c r="J260" s="6"/>
    </row>
    <row r="261" spans="1:10" ht="26.25" customHeight="1">
      <c r="A261" s="550"/>
      <c r="B261" s="551"/>
      <c r="C261" s="546" t="s">
        <v>84</v>
      </c>
      <c r="D261" s="547"/>
      <c r="E261" s="60">
        <f>E228+E232+E248+E251+E255</f>
        <v>350000</v>
      </c>
      <c r="F261" s="60">
        <f>F228+F232+F248+F251+F255</f>
        <v>333908</v>
      </c>
      <c r="G261" s="60">
        <f>G228+G232+G248+G251+G255</f>
        <v>296000</v>
      </c>
      <c r="H261" s="435">
        <f t="shared" si="19"/>
        <v>84.57142857142857</v>
      </c>
      <c r="I261" s="262">
        <f t="shared" si="20"/>
        <v>1.861635220125786</v>
      </c>
      <c r="J261" s="6"/>
    </row>
    <row r="262" spans="1:10" ht="9.75" customHeight="1">
      <c r="A262" s="550"/>
      <c r="B262" s="551"/>
      <c r="C262" s="544" t="s">
        <v>120</v>
      </c>
      <c r="D262" s="548"/>
      <c r="E262" s="152"/>
      <c r="F262" s="152"/>
      <c r="G262" s="152"/>
      <c r="H262" s="152"/>
      <c r="I262" s="303"/>
      <c r="J262" s="6"/>
    </row>
    <row r="263" spans="1:10" ht="9.75" customHeight="1">
      <c r="A263" s="550"/>
      <c r="B263" s="551"/>
      <c r="C263" s="549"/>
      <c r="D263" s="548"/>
      <c r="E263" s="153"/>
      <c r="F263" s="153"/>
      <c r="G263" s="153"/>
      <c r="H263" s="153"/>
      <c r="I263" s="304"/>
      <c r="J263" s="6"/>
    </row>
    <row r="264" spans="1:10" ht="19.5" customHeight="1">
      <c r="A264" s="550"/>
      <c r="B264" s="551"/>
      <c r="C264" s="549"/>
      <c r="D264" s="548"/>
      <c r="E264" s="154"/>
      <c r="F264" s="154"/>
      <c r="G264" s="154"/>
      <c r="H264" s="154"/>
      <c r="I264" s="305"/>
      <c r="J264" s="6"/>
    </row>
    <row r="265" spans="1:10" ht="14.25" customHeight="1">
      <c r="A265" s="120"/>
      <c r="B265" s="19">
        <v>412000</v>
      </c>
      <c r="C265" s="29"/>
      <c r="D265" s="28" t="s">
        <v>134</v>
      </c>
      <c r="E265" s="289">
        <f>SUM(E266:E270)</f>
        <v>40400</v>
      </c>
      <c r="F265" s="289">
        <f>SUM(F266:F270)</f>
        <v>39270</v>
      </c>
      <c r="G265" s="289">
        <f>SUM(G266:G270)</f>
        <v>42400</v>
      </c>
      <c r="H265" s="289">
        <f aca="true" t="shared" si="21" ref="H265:H271">IF(E265&gt;0,G265/E265*100,0)</f>
        <v>104.95049504950495</v>
      </c>
      <c r="I265" s="288">
        <f aca="true" t="shared" si="22" ref="I265:I271">G265/$G$534*100</f>
        <v>0.26666666666666666</v>
      </c>
      <c r="J265" s="6"/>
    </row>
    <row r="266" spans="1:10" ht="12.75">
      <c r="A266" s="120" t="s">
        <v>33</v>
      </c>
      <c r="B266" s="19"/>
      <c r="C266" s="13">
        <v>412700</v>
      </c>
      <c r="D266" s="39" t="s">
        <v>104</v>
      </c>
      <c r="E266" s="171">
        <v>15000</v>
      </c>
      <c r="F266" s="171">
        <v>19606</v>
      </c>
      <c r="G266" s="171">
        <v>20000</v>
      </c>
      <c r="H266" s="341">
        <f t="shared" si="21"/>
        <v>133.33333333333331</v>
      </c>
      <c r="I266" s="227">
        <f t="shared" si="22"/>
        <v>0.12578616352201258</v>
      </c>
      <c r="J266" s="6"/>
    </row>
    <row r="267" spans="1:10" ht="12.75" customHeight="1">
      <c r="A267" s="37" t="s">
        <v>33</v>
      </c>
      <c r="B267" s="38"/>
      <c r="C267" s="33">
        <v>412700</v>
      </c>
      <c r="D267" s="39" t="s">
        <v>124</v>
      </c>
      <c r="E267" s="171">
        <v>2000</v>
      </c>
      <c r="F267" s="171">
        <v>1264</v>
      </c>
      <c r="G267" s="171">
        <v>2000</v>
      </c>
      <c r="H267" s="341">
        <f t="shared" si="21"/>
        <v>100</v>
      </c>
      <c r="I267" s="227">
        <f t="shared" si="22"/>
        <v>0.012578616352201257</v>
      </c>
      <c r="J267" s="6"/>
    </row>
    <row r="268" spans="1:10" ht="24.75" customHeight="1">
      <c r="A268" s="37" t="s">
        <v>33</v>
      </c>
      <c r="B268" s="38"/>
      <c r="C268" s="34">
        <v>412700</v>
      </c>
      <c r="D268" s="30" t="s">
        <v>199</v>
      </c>
      <c r="E268" s="170">
        <v>15000</v>
      </c>
      <c r="F268" s="170">
        <v>15000</v>
      </c>
      <c r="G268" s="170">
        <v>15000</v>
      </c>
      <c r="H268" s="341">
        <f t="shared" si="21"/>
        <v>100</v>
      </c>
      <c r="I268" s="227">
        <f t="shared" si="22"/>
        <v>0.09433962264150944</v>
      </c>
      <c r="J268" s="6"/>
    </row>
    <row r="269" spans="1:10" ht="24.75" customHeight="1">
      <c r="A269" s="36" t="s">
        <v>177</v>
      </c>
      <c r="B269" s="29"/>
      <c r="C269" s="34">
        <v>412700</v>
      </c>
      <c r="D269" s="30" t="s">
        <v>314</v>
      </c>
      <c r="E269" s="170">
        <v>8000</v>
      </c>
      <c r="F269" s="170">
        <v>3000</v>
      </c>
      <c r="G269" s="170">
        <v>5000</v>
      </c>
      <c r="H269" s="341">
        <f t="shared" si="21"/>
        <v>62.5</v>
      </c>
      <c r="I269" s="227">
        <f t="shared" si="22"/>
        <v>0.031446540880503145</v>
      </c>
      <c r="J269" s="6"/>
    </row>
    <row r="270" spans="1:10" ht="12.75" customHeight="1">
      <c r="A270" s="120" t="s">
        <v>24</v>
      </c>
      <c r="B270" s="29"/>
      <c r="C270" s="13">
        <v>412900</v>
      </c>
      <c r="D270" s="26" t="s">
        <v>44</v>
      </c>
      <c r="E270" s="171">
        <v>400</v>
      </c>
      <c r="F270" s="171">
        <v>400</v>
      </c>
      <c r="G270" s="171">
        <v>400</v>
      </c>
      <c r="H270" s="341">
        <f t="shared" si="21"/>
        <v>100</v>
      </c>
      <c r="I270" s="227">
        <f t="shared" si="22"/>
        <v>0.002515723270440252</v>
      </c>
      <c r="J270" s="6"/>
    </row>
    <row r="271" spans="1:10" ht="25.5" customHeight="1">
      <c r="A271" s="550"/>
      <c r="B271" s="551"/>
      <c r="C271" s="546" t="s">
        <v>85</v>
      </c>
      <c r="D271" s="546"/>
      <c r="E271" s="60">
        <f>E265</f>
        <v>40400</v>
      </c>
      <c r="F271" s="60">
        <f>F265</f>
        <v>39270</v>
      </c>
      <c r="G271" s="60">
        <f>G265</f>
        <v>42400</v>
      </c>
      <c r="H271" s="435">
        <f t="shared" si="21"/>
        <v>104.95049504950495</v>
      </c>
      <c r="I271" s="262">
        <f t="shared" si="22"/>
        <v>0.26666666666666666</v>
      </c>
      <c r="J271" s="6"/>
    </row>
    <row r="272" spans="1:10" ht="25.5" customHeight="1">
      <c r="A272" s="398"/>
      <c r="B272" s="399"/>
      <c r="C272" s="544" t="s">
        <v>464</v>
      </c>
      <c r="D272" s="548"/>
      <c r="E272" s="405"/>
      <c r="F272" s="405"/>
      <c r="G272" s="405"/>
      <c r="H272" s="405"/>
      <c r="I272" s="406"/>
      <c r="J272" s="6"/>
    </row>
    <row r="273" spans="1:10" ht="12.75" customHeight="1">
      <c r="A273" s="402"/>
      <c r="B273" s="403"/>
      <c r="C273" s="549"/>
      <c r="D273" s="548"/>
      <c r="E273" s="409"/>
      <c r="F273" s="409"/>
      <c r="G273" s="409"/>
      <c r="H273" s="409"/>
      <c r="I273" s="410"/>
      <c r="J273" s="6"/>
    </row>
    <row r="274" spans="1:10" ht="12.75">
      <c r="A274" s="120"/>
      <c r="B274" s="19">
        <v>412000</v>
      </c>
      <c r="C274" s="13"/>
      <c r="D274" s="28" t="s">
        <v>134</v>
      </c>
      <c r="E274" s="289">
        <f>SUM(E275:E283)</f>
        <v>366400</v>
      </c>
      <c r="F274" s="289">
        <f>SUM(F275:F283)</f>
        <v>365400</v>
      </c>
      <c r="G274" s="289">
        <f>SUM(G275:G283)</f>
        <v>356400</v>
      </c>
      <c r="H274" s="289">
        <f aca="true" t="shared" si="23" ref="H274:H289">IF(E274&gt;0,G274/E274*100,0)</f>
        <v>97.27074235807859</v>
      </c>
      <c r="I274" s="290">
        <f aca="true" t="shared" si="24" ref="I274:I289">G274/$G$534*100</f>
        <v>2.241509433962264</v>
      </c>
      <c r="J274" s="6"/>
    </row>
    <row r="275" spans="1:10" ht="25.5" customHeight="1">
      <c r="A275" s="120" t="s">
        <v>24</v>
      </c>
      <c r="B275" s="29"/>
      <c r="C275" s="13">
        <v>412200</v>
      </c>
      <c r="D275" s="26" t="s">
        <v>136</v>
      </c>
      <c r="E275" s="170">
        <v>215000</v>
      </c>
      <c r="F275" s="170">
        <v>211000</v>
      </c>
      <c r="G275" s="170">
        <v>215000</v>
      </c>
      <c r="H275" s="341">
        <f t="shared" si="23"/>
        <v>100</v>
      </c>
      <c r="I275" s="257">
        <f t="shared" si="24"/>
        <v>1.3522012578616354</v>
      </c>
      <c r="J275" s="6"/>
    </row>
    <row r="276" spans="1:10" ht="12.75">
      <c r="A276" s="120" t="s">
        <v>24</v>
      </c>
      <c r="B276" s="29"/>
      <c r="C276" s="13">
        <v>412300</v>
      </c>
      <c r="D276" s="29" t="s">
        <v>137</v>
      </c>
      <c r="E276" s="170">
        <v>55000</v>
      </c>
      <c r="F276" s="170">
        <v>49000</v>
      </c>
      <c r="G276" s="170">
        <v>50000</v>
      </c>
      <c r="H276" s="341">
        <f t="shared" si="23"/>
        <v>90.9090909090909</v>
      </c>
      <c r="I276" s="257">
        <f t="shared" si="24"/>
        <v>0.3144654088050315</v>
      </c>
      <c r="J276" s="6"/>
    </row>
    <row r="277" spans="1:10" ht="12.75">
      <c r="A277" s="120" t="s">
        <v>24</v>
      </c>
      <c r="B277" s="29"/>
      <c r="C277" s="13">
        <v>412500</v>
      </c>
      <c r="D277" s="29" t="s">
        <v>22</v>
      </c>
      <c r="E277" s="170">
        <v>25000</v>
      </c>
      <c r="F277" s="170">
        <v>23000</v>
      </c>
      <c r="G277" s="170">
        <v>25000</v>
      </c>
      <c r="H277" s="341">
        <f t="shared" si="23"/>
        <v>100</v>
      </c>
      <c r="I277" s="257">
        <f t="shared" si="24"/>
        <v>0.15723270440251574</v>
      </c>
      <c r="J277" s="6"/>
    </row>
    <row r="278" spans="1:10" ht="15" customHeight="1">
      <c r="A278" s="120" t="s">
        <v>24</v>
      </c>
      <c r="B278" s="29"/>
      <c r="C278" s="13">
        <v>412600</v>
      </c>
      <c r="D278" s="26" t="s">
        <v>398</v>
      </c>
      <c r="E278" s="170">
        <v>5000</v>
      </c>
      <c r="F278" s="170">
        <v>6000</v>
      </c>
      <c r="G278" s="170">
        <v>5000</v>
      </c>
      <c r="H278" s="341">
        <f t="shared" si="23"/>
        <v>100</v>
      </c>
      <c r="I278" s="257">
        <f t="shared" si="24"/>
        <v>0.031446540880503145</v>
      </c>
      <c r="J278" s="6"/>
    </row>
    <row r="279" spans="1:10" ht="12.75">
      <c r="A279" s="120" t="s">
        <v>24</v>
      </c>
      <c r="B279" s="29"/>
      <c r="C279" s="13">
        <v>412700</v>
      </c>
      <c r="D279" s="26" t="s">
        <v>306</v>
      </c>
      <c r="E279" s="161">
        <v>60000</v>
      </c>
      <c r="F279" s="161">
        <v>55800</v>
      </c>
      <c r="G279" s="161">
        <v>55000</v>
      </c>
      <c r="H279" s="341">
        <f t="shared" si="23"/>
        <v>91.66666666666666</v>
      </c>
      <c r="I279" s="257">
        <f t="shared" si="24"/>
        <v>0.3459119496855346</v>
      </c>
      <c r="J279" s="6"/>
    </row>
    <row r="280" spans="1:10" ht="12.75">
      <c r="A280" s="120" t="s">
        <v>24</v>
      </c>
      <c r="B280" s="29"/>
      <c r="C280" s="13">
        <v>412900</v>
      </c>
      <c r="D280" s="26" t="s">
        <v>0</v>
      </c>
      <c r="E280" s="170">
        <v>400</v>
      </c>
      <c r="F280" s="170">
        <v>400</v>
      </c>
      <c r="G280" s="170">
        <v>400</v>
      </c>
      <c r="H280" s="341">
        <f t="shared" si="23"/>
        <v>100</v>
      </c>
      <c r="I280" s="257">
        <f t="shared" si="24"/>
        <v>0.002515723270440252</v>
      </c>
      <c r="J280" s="6"/>
    </row>
    <row r="281" spans="1:10" ht="24">
      <c r="A281" s="120" t="s">
        <v>24</v>
      </c>
      <c r="B281" s="29"/>
      <c r="C281" s="13">
        <v>412900</v>
      </c>
      <c r="D281" s="26" t="s">
        <v>305</v>
      </c>
      <c r="E281" s="161">
        <v>3000</v>
      </c>
      <c r="F281" s="161">
        <v>3000</v>
      </c>
      <c r="G281" s="161">
        <v>3000</v>
      </c>
      <c r="H281" s="341">
        <f t="shared" si="23"/>
        <v>100</v>
      </c>
      <c r="I281" s="257">
        <f t="shared" si="24"/>
        <v>0.018867924528301886</v>
      </c>
      <c r="J281" s="6"/>
    </row>
    <row r="282" spans="1:10" ht="12.75">
      <c r="A282" s="120" t="s">
        <v>24</v>
      </c>
      <c r="B282" s="29"/>
      <c r="C282" s="13">
        <v>412900</v>
      </c>
      <c r="D282" s="26" t="s">
        <v>143</v>
      </c>
      <c r="E282" s="161">
        <v>3000</v>
      </c>
      <c r="F282" s="161">
        <v>17200</v>
      </c>
      <c r="G282" s="161">
        <v>3000</v>
      </c>
      <c r="H282" s="341">
        <f t="shared" si="23"/>
        <v>100</v>
      </c>
      <c r="I282" s="257">
        <f t="shared" si="24"/>
        <v>0.018867924528301886</v>
      </c>
      <c r="J282" s="6"/>
    </row>
    <row r="283" spans="1:10" ht="12.75" hidden="1">
      <c r="A283" s="120" t="s">
        <v>24</v>
      </c>
      <c r="B283" s="29"/>
      <c r="C283" s="13">
        <v>412900</v>
      </c>
      <c r="D283" s="26" t="s">
        <v>483</v>
      </c>
      <c r="E283" s="161">
        <v>0</v>
      </c>
      <c r="F283" s="161"/>
      <c r="G283" s="161"/>
      <c r="H283" s="289">
        <f t="shared" si="23"/>
        <v>0</v>
      </c>
      <c r="I283" s="257">
        <f t="shared" si="24"/>
        <v>0</v>
      </c>
      <c r="J283" s="6"/>
    </row>
    <row r="284" spans="1:10" ht="12.75">
      <c r="A284" s="120"/>
      <c r="B284" s="19">
        <v>511000</v>
      </c>
      <c r="C284" s="29"/>
      <c r="D284" s="28" t="s">
        <v>152</v>
      </c>
      <c r="E284" s="162">
        <f>SUM(E285:E286)</f>
        <v>100000</v>
      </c>
      <c r="F284" s="162">
        <f>SUM(F285:F286)</f>
        <v>101300</v>
      </c>
      <c r="G284" s="162">
        <f>SUM(G285:G286)</f>
        <v>65000</v>
      </c>
      <c r="H284" s="289">
        <f t="shared" si="23"/>
        <v>65</v>
      </c>
      <c r="I284" s="254">
        <f t="shared" si="24"/>
        <v>0.4088050314465409</v>
      </c>
      <c r="J284" s="6"/>
    </row>
    <row r="285" spans="1:10" ht="24">
      <c r="A285" s="120" t="s">
        <v>24</v>
      </c>
      <c r="B285" s="29"/>
      <c r="C285" s="38">
        <v>511200</v>
      </c>
      <c r="D285" s="39" t="s">
        <v>162</v>
      </c>
      <c r="E285" s="170">
        <v>20000</v>
      </c>
      <c r="F285" s="170">
        <v>20000</v>
      </c>
      <c r="G285" s="170">
        <v>25000</v>
      </c>
      <c r="H285" s="341">
        <f t="shared" si="23"/>
        <v>125</v>
      </c>
      <c r="I285" s="257">
        <f t="shared" si="24"/>
        <v>0.15723270440251574</v>
      </c>
      <c r="J285" s="6"/>
    </row>
    <row r="286" spans="1:10" ht="12.75">
      <c r="A286" s="120" t="s">
        <v>24</v>
      </c>
      <c r="B286" s="29"/>
      <c r="C286" s="29">
        <v>511300</v>
      </c>
      <c r="D286" s="29" t="s">
        <v>2</v>
      </c>
      <c r="E286" s="170">
        <v>80000</v>
      </c>
      <c r="F286" s="170">
        <v>81300</v>
      </c>
      <c r="G286" s="161">
        <v>40000</v>
      </c>
      <c r="H286" s="341">
        <f t="shared" si="23"/>
        <v>50</v>
      </c>
      <c r="I286" s="257">
        <f t="shared" si="24"/>
        <v>0.25157232704402516</v>
      </c>
      <c r="J286" s="6"/>
    </row>
    <row r="287" spans="1:10" ht="25.5" customHeight="1">
      <c r="A287" s="120"/>
      <c r="B287" s="19">
        <v>516000</v>
      </c>
      <c r="C287" s="29"/>
      <c r="D287" s="28" t="s">
        <v>348</v>
      </c>
      <c r="E287" s="162">
        <f>SUM(E288)</f>
        <v>8000</v>
      </c>
      <c r="F287" s="162">
        <f>SUM(F288)</f>
        <v>8000</v>
      </c>
      <c r="G287" s="162">
        <f>SUM(G288)</f>
        <v>6000</v>
      </c>
      <c r="H287" s="289">
        <f t="shared" si="23"/>
        <v>75</v>
      </c>
      <c r="I287" s="254">
        <f t="shared" si="24"/>
        <v>0.03773584905660377</v>
      </c>
      <c r="J287" s="6"/>
    </row>
    <row r="288" spans="1:10" ht="24">
      <c r="A288" s="120" t="s">
        <v>24</v>
      </c>
      <c r="B288" s="29"/>
      <c r="C288" s="29">
        <v>516100</v>
      </c>
      <c r="D288" s="26" t="s">
        <v>278</v>
      </c>
      <c r="E288" s="170">
        <v>8000</v>
      </c>
      <c r="F288" s="170">
        <v>8000</v>
      </c>
      <c r="G288" s="161">
        <v>6000</v>
      </c>
      <c r="H288" s="341">
        <f t="shared" si="23"/>
        <v>75</v>
      </c>
      <c r="I288" s="257">
        <f t="shared" si="24"/>
        <v>0.03773584905660377</v>
      </c>
      <c r="J288" s="6"/>
    </row>
    <row r="289" spans="1:10" ht="25.5" customHeight="1">
      <c r="A289" s="550"/>
      <c r="B289" s="551"/>
      <c r="C289" s="546" t="s">
        <v>87</v>
      </c>
      <c r="D289" s="547"/>
      <c r="E289" s="60">
        <f>E274+E284+E287</f>
        <v>474400</v>
      </c>
      <c r="F289" s="60">
        <f>F274+F284+F287</f>
        <v>474700</v>
      </c>
      <c r="G289" s="60">
        <f>G274+G284+G287</f>
        <v>427400</v>
      </c>
      <c r="H289" s="435">
        <f t="shared" si="23"/>
        <v>90.09274873524453</v>
      </c>
      <c r="I289" s="263">
        <f t="shared" si="24"/>
        <v>2.688050314465409</v>
      </c>
      <c r="J289" s="6"/>
    </row>
    <row r="290" spans="1:10" ht="12.75">
      <c r="A290" s="400"/>
      <c r="B290" s="401"/>
      <c r="C290" s="560" t="s">
        <v>526</v>
      </c>
      <c r="D290" s="561"/>
      <c r="E290" s="407"/>
      <c r="F290" s="407"/>
      <c r="G290" s="407"/>
      <c r="H290" s="407"/>
      <c r="I290" s="408"/>
      <c r="J290" s="6"/>
    </row>
    <row r="291" spans="1:10" ht="12.75">
      <c r="A291" s="400"/>
      <c r="B291" s="401"/>
      <c r="C291" s="555"/>
      <c r="D291" s="554"/>
      <c r="E291" s="407"/>
      <c r="F291" s="407"/>
      <c r="G291" s="407"/>
      <c r="H291" s="407"/>
      <c r="I291" s="408"/>
      <c r="J291" s="6"/>
    </row>
    <row r="292" spans="1:10" ht="12.75">
      <c r="A292" s="402"/>
      <c r="B292" s="403"/>
      <c r="C292" s="555"/>
      <c r="D292" s="554"/>
      <c r="E292" s="409"/>
      <c r="F292" s="409"/>
      <c r="G292" s="409"/>
      <c r="H292" s="409"/>
      <c r="I292" s="410"/>
      <c r="J292" s="6"/>
    </row>
    <row r="293" spans="1:10" ht="12.75">
      <c r="A293" s="24"/>
      <c r="B293" s="285" t="s">
        <v>422</v>
      </c>
      <c r="C293" s="55"/>
      <c r="D293" s="68" t="s">
        <v>134</v>
      </c>
      <c r="E293" s="295">
        <f>SUM(E294:E295)</f>
        <v>17000</v>
      </c>
      <c r="F293" s="295">
        <f>SUM(F294:F295)</f>
        <v>16500</v>
      </c>
      <c r="G293" s="295">
        <f>SUM(G294:G295)</f>
        <v>17000</v>
      </c>
      <c r="H293" s="395">
        <f aca="true" t="shared" si="25" ref="H293:H300">IF(E293&gt;0,G293/E293*100,0)</f>
        <v>100</v>
      </c>
      <c r="I293" s="306">
        <f aca="true" t="shared" si="26" ref="I293:I300">G293/$G$534*100</f>
        <v>0.10691823899371068</v>
      </c>
      <c r="J293" s="6"/>
    </row>
    <row r="294" spans="1:10" ht="12.75">
      <c r="A294" s="120" t="s">
        <v>24</v>
      </c>
      <c r="B294" s="285"/>
      <c r="C294" s="41">
        <v>412700</v>
      </c>
      <c r="D294" s="79" t="s">
        <v>141</v>
      </c>
      <c r="E294" s="208">
        <v>15000</v>
      </c>
      <c r="F294" s="515">
        <v>15950</v>
      </c>
      <c r="G294" s="208">
        <v>15000</v>
      </c>
      <c r="H294" s="256">
        <f t="shared" si="25"/>
        <v>100</v>
      </c>
      <c r="I294" s="307">
        <f t="shared" si="26"/>
        <v>0.09433962264150944</v>
      </c>
      <c r="J294" s="6"/>
    </row>
    <row r="295" spans="1:10" ht="24">
      <c r="A295" s="120" t="s">
        <v>24</v>
      </c>
      <c r="B295" s="285"/>
      <c r="C295" s="41">
        <v>412900</v>
      </c>
      <c r="D295" s="40" t="s">
        <v>436</v>
      </c>
      <c r="E295" s="208">
        <v>2000</v>
      </c>
      <c r="F295" s="515">
        <v>550</v>
      </c>
      <c r="G295" s="208">
        <v>2000</v>
      </c>
      <c r="H295" s="256">
        <f t="shared" si="25"/>
        <v>100</v>
      </c>
      <c r="I295" s="307">
        <f t="shared" si="26"/>
        <v>0.012578616352201257</v>
      </c>
      <c r="J295" s="6"/>
    </row>
    <row r="296" spans="1:10" ht="12.75">
      <c r="A296" s="120"/>
      <c r="B296" s="285" t="s">
        <v>433</v>
      </c>
      <c r="C296" s="55"/>
      <c r="D296" s="68" t="s">
        <v>368</v>
      </c>
      <c r="E296" s="295">
        <f>SUM(E297)</f>
        <v>150000</v>
      </c>
      <c r="F296" s="295">
        <f>SUM(F297)</f>
        <v>216000</v>
      </c>
      <c r="G296" s="295">
        <f>SUM(G297)</f>
        <v>170000</v>
      </c>
      <c r="H296" s="395">
        <f t="shared" si="25"/>
        <v>113.33333333333333</v>
      </c>
      <c r="I296" s="306">
        <f t="shared" si="26"/>
        <v>1.069182389937107</v>
      </c>
      <c r="J296" s="6"/>
    </row>
    <row r="297" spans="1:10" ht="24">
      <c r="A297" s="120" t="s">
        <v>24</v>
      </c>
      <c r="B297" s="285"/>
      <c r="C297" s="41">
        <v>419100</v>
      </c>
      <c r="D297" s="40" t="s">
        <v>435</v>
      </c>
      <c r="E297" s="209">
        <v>150000</v>
      </c>
      <c r="F297" s="209">
        <v>216000</v>
      </c>
      <c r="G297" s="209">
        <v>170000</v>
      </c>
      <c r="H297" s="256">
        <f t="shared" si="25"/>
        <v>113.33333333333333</v>
      </c>
      <c r="I297" s="307">
        <f t="shared" si="26"/>
        <v>1.069182389937107</v>
      </c>
      <c r="J297" s="6"/>
    </row>
    <row r="298" spans="1:10" ht="12.75">
      <c r="A298" s="120"/>
      <c r="B298" s="285" t="s">
        <v>434</v>
      </c>
      <c r="C298" s="55"/>
      <c r="D298" s="68" t="s">
        <v>179</v>
      </c>
      <c r="E298" s="295">
        <f>SUM(E299)</f>
        <v>110000</v>
      </c>
      <c r="F298" s="295">
        <f>SUM(F299)</f>
        <v>30650</v>
      </c>
      <c r="G298" s="295">
        <f>SUM(G299)</f>
        <v>70000</v>
      </c>
      <c r="H298" s="395">
        <f t="shared" si="25"/>
        <v>63.63636363636363</v>
      </c>
      <c r="I298" s="306">
        <f t="shared" si="26"/>
        <v>0.44025157232704404</v>
      </c>
      <c r="J298" s="6"/>
    </row>
    <row r="299" spans="1:10" ht="14.25" customHeight="1">
      <c r="A299" s="120" t="s">
        <v>24</v>
      </c>
      <c r="B299" s="284"/>
      <c r="C299" s="277">
        <v>513100</v>
      </c>
      <c r="D299" s="271" t="s">
        <v>255</v>
      </c>
      <c r="E299" s="256">
        <v>110000</v>
      </c>
      <c r="F299" s="256">
        <v>30650</v>
      </c>
      <c r="G299" s="256">
        <v>70000</v>
      </c>
      <c r="H299" s="256">
        <f t="shared" si="25"/>
        <v>63.63636363636363</v>
      </c>
      <c r="I299" s="307">
        <f t="shared" si="26"/>
        <v>0.44025157232704404</v>
      </c>
      <c r="J299" s="6"/>
    </row>
    <row r="300" spans="1:10" ht="25.5" customHeight="1">
      <c r="A300" s="120"/>
      <c r="B300" s="284"/>
      <c r="C300" s="546" t="s">
        <v>484</v>
      </c>
      <c r="D300" s="546"/>
      <c r="E300" s="265">
        <f>E293+E297+E298</f>
        <v>277000</v>
      </c>
      <c r="F300" s="265">
        <f>F293+F297+F298</f>
        <v>263150</v>
      </c>
      <c r="G300" s="265">
        <f>G293+G297+G298</f>
        <v>257000</v>
      </c>
      <c r="H300" s="265">
        <f t="shared" si="25"/>
        <v>92.7797833935018</v>
      </c>
      <c r="I300" s="308">
        <f t="shared" si="26"/>
        <v>1.6163522012578615</v>
      </c>
      <c r="J300" s="6"/>
    </row>
    <row r="301" spans="1:10" ht="9.75" customHeight="1">
      <c r="A301" s="542"/>
      <c r="B301" s="543"/>
      <c r="C301" s="544" t="s">
        <v>226</v>
      </c>
      <c r="D301" s="548"/>
      <c r="E301" s="152"/>
      <c r="F301" s="152"/>
      <c r="G301" s="152"/>
      <c r="H301" s="152"/>
      <c r="I301" s="303"/>
      <c r="J301" s="6"/>
    </row>
    <row r="302" spans="1:10" ht="9.75" customHeight="1">
      <c r="A302" s="542"/>
      <c r="B302" s="543"/>
      <c r="C302" s="549"/>
      <c r="D302" s="548"/>
      <c r="E302" s="153"/>
      <c r="F302" s="153"/>
      <c r="G302" s="153"/>
      <c r="H302" s="153"/>
      <c r="I302" s="304"/>
      <c r="J302" s="6"/>
    </row>
    <row r="303" spans="1:10" ht="30" customHeight="1">
      <c r="A303" s="542"/>
      <c r="B303" s="543"/>
      <c r="C303" s="549"/>
      <c r="D303" s="548"/>
      <c r="E303" s="154"/>
      <c r="F303" s="154"/>
      <c r="G303" s="154"/>
      <c r="H303" s="154"/>
      <c r="I303" s="305"/>
      <c r="J303" s="6"/>
    </row>
    <row r="304" spans="1:10" ht="14.25" customHeight="1">
      <c r="A304" s="120"/>
      <c r="B304" s="19">
        <v>412000</v>
      </c>
      <c r="C304" s="13"/>
      <c r="D304" s="28" t="s">
        <v>134</v>
      </c>
      <c r="E304" s="289">
        <f>SUM(E305:E308)</f>
        <v>53400</v>
      </c>
      <c r="F304" s="289">
        <f>SUM(F305:F308)</f>
        <v>54400</v>
      </c>
      <c r="G304" s="289">
        <f>SUM(G305:G308)</f>
        <v>53900</v>
      </c>
      <c r="H304" s="289">
        <f aca="true" t="shared" si="27" ref="H304:H323">IF(E304&gt;0,G304/E304*100,0)</f>
        <v>100.93632958801497</v>
      </c>
      <c r="I304" s="290">
        <f aca="true" t="shared" si="28" ref="I304:I323">G304/$G$534*100</f>
        <v>0.3389937106918239</v>
      </c>
      <c r="J304" s="6"/>
    </row>
    <row r="305" spans="1:10" ht="12.75">
      <c r="A305" s="36" t="s">
        <v>46</v>
      </c>
      <c r="B305" s="29"/>
      <c r="C305" s="34">
        <v>412700</v>
      </c>
      <c r="D305" s="29" t="s">
        <v>45</v>
      </c>
      <c r="E305" s="170">
        <v>2000</v>
      </c>
      <c r="F305" s="170">
        <v>3000</v>
      </c>
      <c r="G305" s="170">
        <v>2500</v>
      </c>
      <c r="H305" s="341">
        <f t="shared" si="27"/>
        <v>125</v>
      </c>
      <c r="I305" s="257">
        <f t="shared" si="28"/>
        <v>0.015723270440251572</v>
      </c>
      <c r="J305" s="6"/>
    </row>
    <row r="306" spans="1:10" ht="12.75">
      <c r="A306" s="120" t="s">
        <v>46</v>
      </c>
      <c r="B306" s="29"/>
      <c r="C306" s="34">
        <v>412700</v>
      </c>
      <c r="D306" s="26" t="s">
        <v>105</v>
      </c>
      <c r="E306" s="170">
        <v>51000</v>
      </c>
      <c r="F306" s="170">
        <v>51000</v>
      </c>
      <c r="G306" s="170">
        <v>51000</v>
      </c>
      <c r="H306" s="341">
        <f t="shared" si="27"/>
        <v>100</v>
      </c>
      <c r="I306" s="257">
        <f t="shared" si="28"/>
        <v>0.32075471698113206</v>
      </c>
      <c r="J306" s="6"/>
    </row>
    <row r="307" spans="1:10" ht="12.75" customHeight="1" hidden="1">
      <c r="A307" s="120" t="s">
        <v>332</v>
      </c>
      <c r="B307" s="29"/>
      <c r="C307" s="34">
        <v>412700</v>
      </c>
      <c r="D307" s="26" t="s">
        <v>337</v>
      </c>
      <c r="E307" s="170"/>
      <c r="F307" s="170"/>
      <c r="G307" s="170"/>
      <c r="H307" s="341">
        <f t="shared" si="27"/>
        <v>0</v>
      </c>
      <c r="I307" s="257">
        <f t="shared" si="28"/>
        <v>0</v>
      </c>
      <c r="J307" s="6"/>
    </row>
    <row r="308" spans="1:10" ht="12.75">
      <c r="A308" s="120" t="s">
        <v>24</v>
      </c>
      <c r="B308" s="29"/>
      <c r="C308" s="13">
        <v>412900</v>
      </c>
      <c r="D308" s="43" t="s">
        <v>0</v>
      </c>
      <c r="E308" s="170">
        <v>400</v>
      </c>
      <c r="F308" s="170">
        <v>400</v>
      </c>
      <c r="G308" s="170">
        <v>400</v>
      </c>
      <c r="H308" s="341">
        <f t="shared" si="27"/>
        <v>100</v>
      </c>
      <c r="I308" s="257">
        <f t="shared" si="28"/>
        <v>0.002515723270440252</v>
      </c>
      <c r="J308" s="6"/>
    </row>
    <row r="309" spans="1:10" ht="14.25" customHeight="1">
      <c r="A309" s="120"/>
      <c r="B309" s="64">
        <v>414000</v>
      </c>
      <c r="C309" s="34"/>
      <c r="D309" s="89" t="s">
        <v>189</v>
      </c>
      <c r="E309" s="162">
        <f>SUM(E310)</f>
        <v>410000</v>
      </c>
      <c r="F309" s="162">
        <f>SUM(F310)</f>
        <v>410000</v>
      </c>
      <c r="G309" s="162">
        <f>SUM(G310:G311)</f>
        <v>515000</v>
      </c>
      <c r="H309" s="289">
        <f t="shared" si="27"/>
        <v>125.60975609756098</v>
      </c>
      <c r="I309" s="254">
        <f t="shared" si="28"/>
        <v>3.238993710691824</v>
      </c>
      <c r="J309" s="6"/>
    </row>
    <row r="310" spans="1:10" ht="12.75">
      <c r="A310" s="120" t="s">
        <v>46</v>
      </c>
      <c r="B310" s="29"/>
      <c r="C310" s="34">
        <v>414100</v>
      </c>
      <c r="D310" s="35" t="s">
        <v>191</v>
      </c>
      <c r="E310" s="170">
        <v>410000</v>
      </c>
      <c r="F310" s="170">
        <v>410000</v>
      </c>
      <c r="G310" s="170">
        <v>415000</v>
      </c>
      <c r="H310" s="341">
        <f t="shared" si="27"/>
        <v>101.21951219512195</v>
      </c>
      <c r="I310" s="257">
        <f t="shared" si="28"/>
        <v>2.610062893081761</v>
      </c>
      <c r="J310" s="6"/>
    </row>
    <row r="311" spans="1:10" ht="15.75" customHeight="1">
      <c r="A311" s="120" t="s">
        <v>46</v>
      </c>
      <c r="B311" s="29"/>
      <c r="C311" s="34">
        <v>414100</v>
      </c>
      <c r="D311" s="35" t="s">
        <v>596</v>
      </c>
      <c r="E311" s="161">
        <v>0</v>
      </c>
      <c r="F311" s="161">
        <v>0</v>
      </c>
      <c r="G311" s="161">
        <v>100000</v>
      </c>
      <c r="H311" s="291">
        <f t="shared" si="27"/>
        <v>0</v>
      </c>
      <c r="I311" s="257">
        <f t="shared" si="28"/>
        <v>0.628930817610063</v>
      </c>
      <c r="J311" s="6"/>
    </row>
    <row r="312" spans="1:10" ht="14.25" customHeight="1">
      <c r="A312" s="120"/>
      <c r="B312" s="19">
        <v>416000</v>
      </c>
      <c r="C312" s="34"/>
      <c r="D312" s="28" t="s">
        <v>1</v>
      </c>
      <c r="E312" s="194">
        <f>SUM(E313:E313)</f>
        <v>10000</v>
      </c>
      <c r="F312" s="194">
        <f>SUM(F313:F313)</f>
        <v>5000</v>
      </c>
      <c r="G312" s="194">
        <f>SUM(G313:G313)</f>
        <v>7000</v>
      </c>
      <c r="H312" s="289">
        <f t="shared" si="27"/>
        <v>70</v>
      </c>
      <c r="I312" s="254">
        <f t="shared" si="28"/>
        <v>0.0440251572327044</v>
      </c>
      <c r="J312" s="6"/>
    </row>
    <row r="313" spans="1:10" ht="12.75">
      <c r="A313" s="120" t="s">
        <v>46</v>
      </c>
      <c r="B313" s="29"/>
      <c r="C313" s="33">
        <v>416100</v>
      </c>
      <c r="D313" s="26" t="s">
        <v>195</v>
      </c>
      <c r="E313" s="170">
        <v>10000</v>
      </c>
      <c r="F313" s="170">
        <v>5000</v>
      </c>
      <c r="G313" s="170">
        <v>7000</v>
      </c>
      <c r="H313" s="341">
        <f t="shared" si="27"/>
        <v>70</v>
      </c>
      <c r="I313" s="257">
        <f t="shared" si="28"/>
        <v>0.0440251572327044</v>
      </c>
      <c r="J313" s="6"/>
    </row>
    <row r="314" spans="1:10" ht="24">
      <c r="A314" s="120"/>
      <c r="B314" s="29"/>
      <c r="C314" s="33"/>
      <c r="D314" s="28" t="s">
        <v>361</v>
      </c>
      <c r="E314" s="61">
        <f>SUM(E315:E316)</f>
        <v>220000</v>
      </c>
      <c r="F314" s="61">
        <f>SUM(F315:F316)</f>
        <v>197500</v>
      </c>
      <c r="G314" s="61">
        <f>SUM(G315:G316)</f>
        <v>170000</v>
      </c>
      <c r="H314" s="289">
        <f t="shared" si="27"/>
        <v>77.27272727272727</v>
      </c>
      <c r="I314" s="254">
        <f t="shared" si="28"/>
        <v>1.069182389937107</v>
      </c>
      <c r="J314" s="6"/>
    </row>
    <row r="315" spans="1:10" ht="24">
      <c r="A315" s="120" t="s">
        <v>40</v>
      </c>
      <c r="B315" s="29"/>
      <c r="C315" s="33">
        <v>412500</v>
      </c>
      <c r="D315" s="26" t="s">
        <v>492</v>
      </c>
      <c r="E315" s="170">
        <v>50000</v>
      </c>
      <c r="F315" s="170">
        <v>27500</v>
      </c>
      <c r="G315" s="170">
        <v>40000</v>
      </c>
      <c r="H315" s="341">
        <f t="shared" si="27"/>
        <v>80</v>
      </c>
      <c r="I315" s="257">
        <f t="shared" si="28"/>
        <v>0.25157232704402516</v>
      </c>
      <c r="J315" s="6"/>
    </row>
    <row r="316" spans="1:10" ht="24">
      <c r="A316" s="120" t="s">
        <v>40</v>
      </c>
      <c r="B316" s="29"/>
      <c r="C316" s="33">
        <v>511200</v>
      </c>
      <c r="D316" s="26" t="s">
        <v>493</v>
      </c>
      <c r="E316" s="170">
        <v>170000</v>
      </c>
      <c r="F316" s="170">
        <v>170000</v>
      </c>
      <c r="G316" s="170">
        <v>130000</v>
      </c>
      <c r="H316" s="341">
        <f t="shared" si="27"/>
        <v>76.47058823529412</v>
      </c>
      <c r="I316" s="257">
        <f t="shared" si="28"/>
        <v>0.8176100628930818</v>
      </c>
      <c r="J316" s="6"/>
    </row>
    <row r="317" spans="1:10" ht="26.25" customHeight="1">
      <c r="A317" s="120"/>
      <c r="B317" s="29"/>
      <c r="C317" s="76"/>
      <c r="D317" s="50" t="s">
        <v>121</v>
      </c>
      <c r="E317" s="162">
        <f>SUM(E318:E322)</f>
        <v>147000</v>
      </c>
      <c r="F317" s="162">
        <f>SUM(F318:F322)</f>
        <v>147000</v>
      </c>
      <c r="G317" s="162">
        <f>SUM(G318:G322)</f>
        <v>200000</v>
      </c>
      <c r="H317" s="289">
        <f t="shared" si="27"/>
        <v>136.05442176870747</v>
      </c>
      <c r="I317" s="254">
        <f t="shared" si="28"/>
        <v>1.257861635220126</v>
      </c>
      <c r="J317" s="6"/>
    </row>
    <row r="318" spans="1:10" ht="21" customHeight="1">
      <c r="A318" s="36" t="s">
        <v>176</v>
      </c>
      <c r="B318" s="29"/>
      <c r="C318" s="34">
        <v>412700</v>
      </c>
      <c r="D318" s="45" t="s">
        <v>122</v>
      </c>
      <c r="E318" s="161">
        <v>0</v>
      </c>
      <c r="F318" s="161">
        <v>0</v>
      </c>
      <c r="G318" s="161">
        <v>10000</v>
      </c>
      <c r="H318" s="341">
        <f t="shared" si="27"/>
        <v>0</v>
      </c>
      <c r="I318" s="257">
        <f t="shared" si="28"/>
        <v>0.06289308176100629</v>
      </c>
      <c r="J318" s="6"/>
    </row>
    <row r="319" spans="1:10" ht="22.5" customHeight="1">
      <c r="A319" s="36" t="s">
        <v>46</v>
      </c>
      <c r="B319" s="29"/>
      <c r="C319" s="33">
        <v>412800</v>
      </c>
      <c r="D319" s="45" t="s">
        <v>311</v>
      </c>
      <c r="E319" s="161">
        <v>0</v>
      </c>
      <c r="F319" s="161">
        <v>0</v>
      </c>
      <c r="G319" s="161">
        <v>25000</v>
      </c>
      <c r="H319" s="341">
        <f t="shared" si="27"/>
        <v>0</v>
      </c>
      <c r="I319" s="257">
        <f t="shared" si="28"/>
        <v>0.15723270440251574</v>
      </c>
      <c r="J319" s="6"/>
    </row>
    <row r="320" spans="1:10" ht="6" customHeight="1" hidden="1">
      <c r="A320" s="36" t="s">
        <v>174</v>
      </c>
      <c r="B320" s="29"/>
      <c r="C320" s="33">
        <v>415200</v>
      </c>
      <c r="D320" s="54" t="s">
        <v>463</v>
      </c>
      <c r="E320" s="161">
        <v>0</v>
      </c>
      <c r="F320" s="161"/>
      <c r="G320" s="161"/>
      <c r="H320" s="289">
        <f t="shared" si="27"/>
        <v>0</v>
      </c>
      <c r="I320" s="257">
        <f t="shared" si="28"/>
        <v>0</v>
      </c>
      <c r="J320" s="6"/>
    </row>
    <row r="321" spans="1:10" ht="12" customHeight="1" hidden="1">
      <c r="A321" s="36" t="s">
        <v>46</v>
      </c>
      <c r="B321" s="29"/>
      <c r="C321" s="33">
        <v>511100</v>
      </c>
      <c r="D321" s="82" t="s">
        <v>282</v>
      </c>
      <c r="E321" s="161"/>
      <c r="F321" s="161"/>
      <c r="G321" s="161"/>
      <c r="H321" s="289">
        <f t="shared" si="27"/>
        <v>0</v>
      </c>
      <c r="I321" s="257">
        <f t="shared" si="28"/>
        <v>0</v>
      </c>
      <c r="J321" s="6"/>
    </row>
    <row r="322" spans="1:10" ht="24.75" customHeight="1">
      <c r="A322" s="36" t="s">
        <v>174</v>
      </c>
      <c r="B322" s="29"/>
      <c r="C322" s="33">
        <v>511200</v>
      </c>
      <c r="D322" s="82" t="s">
        <v>556</v>
      </c>
      <c r="E322" s="161">
        <v>147000</v>
      </c>
      <c r="F322" s="161">
        <v>147000</v>
      </c>
      <c r="G322" s="161">
        <v>165000</v>
      </c>
      <c r="H322" s="341">
        <f t="shared" si="27"/>
        <v>112.24489795918366</v>
      </c>
      <c r="I322" s="257">
        <f t="shared" si="28"/>
        <v>1.0377358490566038</v>
      </c>
      <c r="J322" s="6"/>
    </row>
    <row r="323" spans="1:10" ht="24.75" customHeight="1">
      <c r="A323" s="550"/>
      <c r="B323" s="551"/>
      <c r="C323" s="546" t="s">
        <v>86</v>
      </c>
      <c r="D323" s="546"/>
      <c r="E323" s="282">
        <f>E304+E309+E312+E314+E317</f>
        <v>840400</v>
      </c>
      <c r="F323" s="282">
        <f>F304+F309+F312+F314+F317</f>
        <v>813900</v>
      </c>
      <c r="G323" s="282">
        <f>G304+G309+G312+G314+G317</f>
        <v>945900</v>
      </c>
      <c r="H323" s="435">
        <f t="shared" si="27"/>
        <v>112.55354593050927</v>
      </c>
      <c r="I323" s="283">
        <f t="shared" si="28"/>
        <v>5.9490566037735855</v>
      </c>
      <c r="J323" s="6"/>
    </row>
    <row r="324" spans="1:10" ht="12.75">
      <c r="A324" s="542"/>
      <c r="B324" s="543"/>
      <c r="C324" s="544" t="s">
        <v>344</v>
      </c>
      <c r="D324" s="548"/>
      <c r="E324" s="152"/>
      <c r="F324" s="152"/>
      <c r="G324" s="152"/>
      <c r="H324" s="152"/>
      <c r="I324" s="303"/>
      <c r="J324" s="6"/>
    </row>
    <row r="325" spans="1:10" ht="12.75">
      <c r="A325" s="542"/>
      <c r="B325" s="543"/>
      <c r="C325" s="549"/>
      <c r="D325" s="548"/>
      <c r="E325" s="153"/>
      <c r="F325" s="153"/>
      <c r="G325" s="153"/>
      <c r="H325" s="153"/>
      <c r="I325" s="304"/>
      <c r="J325" s="6"/>
    </row>
    <row r="326" spans="1:10" ht="12.75" customHeight="1">
      <c r="A326" s="542"/>
      <c r="B326" s="543"/>
      <c r="C326" s="549"/>
      <c r="D326" s="548"/>
      <c r="E326" s="154"/>
      <c r="F326" s="154"/>
      <c r="G326" s="154"/>
      <c r="H326" s="154"/>
      <c r="I326" s="305"/>
      <c r="J326" s="6"/>
    </row>
    <row r="327" spans="1:10" ht="14.25" customHeight="1">
      <c r="A327" s="120"/>
      <c r="B327" s="19">
        <v>411000</v>
      </c>
      <c r="C327" s="32"/>
      <c r="D327" s="22" t="s">
        <v>384</v>
      </c>
      <c r="E327" s="287">
        <f>SUM(E328:E331)</f>
        <v>266000</v>
      </c>
      <c r="F327" s="287">
        <f>SUM(F328:F331)</f>
        <v>267900</v>
      </c>
      <c r="G327" s="287">
        <f>SUM(G328:G331)</f>
        <v>287000</v>
      </c>
      <c r="H327" s="289">
        <f aca="true" t="shared" si="29" ref="H327:H364">IF(E327&gt;0,G327/E327*100,0)</f>
        <v>107.89473684210526</v>
      </c>
      <c r="I327" s="290">
        <f aca="true" t="shared" si="30" ref="I327:I364">G327/$G$534*100</f>
        <v>1.8050314465408808</v>
      </c>
      <c r="J327" s="6"/>
    </row>
    <row r="328" spans="1:10" ht="12.75" customHeight="1">
      <c r="A328" s="120">
        <v>1090</v>
      </c>
      <c r="B328" s="29"/>
      <c r="C328" s="13">
        <v>411100</v>
      </c>
      <c r="D328" s="23" t="s">
        <v>380</v>
      </c>
      <c r="E328" s="170">
        <v>209000</v>
      </c>
      <c r="F328" s="170">
        <v>211000</v>
      </c>
      <c r="G328" s="170">
        <v>227000</v>
      </c>
      <c r="H328" s="341">
        <f t="shared" si="29"/>
        <v>108.61244019138756</v>
      </c>
      <c r="I328" s="257">
        <f t="shared" si="30"/>
        <v>1.427672955974843</v>
      </c>
      <c r="J328" s="6"/>
    </row>
    <row r="329" spans="1:10" ht="23.25" customHeight="1">
      <c r="A329" s="120">
        <v>1090</v>
      </c>
      <c r="B329" s="29"/>
      <c r="C329" s="13">
        <v>411200</v>
      </c>
      <c r="D329" s="23" t="s">
        <v>385</v>
      </c>
      <c r="E329" s="170">
        <v>48000</v>
      </c>
      <c r="F329" s="170">
        <v>50000</v>
      </c>
      <c r="G329" s="170">
        <v>55000</v>
      </c>
      <c r="H329" s="341">
        <f t="shared" si="29"/>
        <v>114.58333333333333</v>
      </c>
      <c r="I329" s="257">
        <f t="shared" si="30"/>
        <v>0.3459119496855346</v>
      </c>
      <c r="J329" s="6"/>
    </row>
    <row r="330" spans="1:10" ht="21.75" customHeight="1">
      <c r="A330" s="120">
        <v>1090</v>
      </c>
      <c r="B330" s="29"/>
      <c r="C330" s="13">
        <v>411300</v>
      </c>
      <c r="D330" s="23" t="s">
        <v>494</v>
      </c>
      <c r="E330" s="170">
        <v>1000</v>
      </c>
      <c r="F330" s="170">
        <v>3900</v>
      </c>
      <c r="G330" s="170">
        <v>1000</v>
      </c>
      <c r="H330" s="341">
        <f t="shared" si="29"/>
        <v>100</v>
      </c>
      <c r="I330" s="257">
        <f t="shared" si="30"/>
        <v>0.006289308176100628</v>
      </c>
      <c r="J330" s="6"/>
    </row>
    <row r="331" spans="1:10" ht="12.75" customHeight="1">
      <c r="A331" s="120">
        <v>1090</v>
      </c>
      <c r="B331" s="29"/>
      <c r="C331" s="13">
        <v>411400</v>
      </c>
      <c r="D331" s="25" t="s">
        <v>381</v>
      </c>
      <c r="E331" s="170">
        <v>8000</v>
      </c>
      <c r="F331" s="170">
        <v>3000</v>
      </c>
      <c r="G331" s="170">
        <v>4000</v>
      </c>
      <c r="H331" s="341">
        <f t="shared" si="29"/>
        <v>50</v>
      </c>
      <c r="I331" s="257">
        <f t="shared" si="30"/>
        <v>0.025157232704402514</v>
      </c>
      <c r="J331" s="6"/>
    </row>
    <row r="332" spans="1:10" ht="14.25" customHeight="1">
      <c r="A332" s="120"/>
      <c r="B332" s="19">
        <v>412000</v>
      </c>
      <c r="C332" s="13"/>
      <c r="D332" s="28" t="s">
        <v>134</v>
      </c>
      <c r="E332" s="162">
        <f>SUM(E333:E340)</f>
        <v>119300</v>
      </c>
      <c r="F332" s="162">
        <f>SUM(F333:F340)</f>
        <v>120750</v>
      </c>
      <c r="G332" s="162">
        <f>SUM(G333:G340)</f>
        <v>124450</v>
      </c>
      <c r="H332" s="289">
        <f t="shared" si="29"/>
        <v>104.31684828164292</v>
      </c>
      <c r="I332" s="254">
        <f t="shared" si="30"/>
        <v>0.7827044025157233</v>
      </c>
      <c r="J332" s="6"/>
    </row>
    <row r="333" spans="1:10" ht="12.75" customHeight="1">
      <c r="A333" s="120">
        <v>1090</v>
      </c>
      <c r="B333" s="29"/>
      <c r="C333" s="13">
        <v>412100</v>
      </c>
      <c r="D333" s="26" t="s">
        <v>135</v>
      </c>
      <c r="E333" s="170">
        <v>22850</v>
      </c>
      <c r="F333" s="170">
        <v>22850</v>
      </c>
      <c r="G333" s="170">
        <v>22850</v>
      </c>
      <c r="H333" s="341">
        <f t="shared" si="29"/>
        <v>100</v>
      </c>
      <c r="I333" s="257">
        <f t="shared" si="30"/>
        <v>0.14371069182389937</v>
      </c>
      <c r="J333" s="6"/>
    </row>
    <row r="334" spans="1:10" ht="24" customHeight="1">
      <c r="A334" s="120">
        <v>1090</v>
      </c>
      <c r="B334" s="29"/>
      <c r="C334" s="13">
        <v>412200</v>
      </c>
      <c r="D334" s="26" t="s">
        <v>136</v>
      </c>
      <c r="E334" s="170">
        <v>67000</v>
      </c>
      <c r="F334" s="170">
        <v>67000</v>
      </c>
      <c r="G334" s="161">
        <v>67000</v>
      </c>
      <c r="H334" s="341">
        <f t="shared" si="29"/>
        <v>100</v>
      </c>
      <c r="I334" s="257">
        <f t="shared" si="30"/>
        <v>0.42138364779874216</v>
      </c>
      <c r="J334" s="6"/>
    </row>
    <row r="335" spans="1:10" ht="12.75" customHeight="1">
      <c r="A335" s="120">
        <v>1090</v>
      </c>
      <c r="B335" s="29"/>
      <c r="C335" s="13">
        <v>412300</v>
      </c>
      <c r="D335" s="29" t="s">
        <v>137</v>
      </c>
      <c r="E335" s="170">
        <v>6500</v>
      </c>
      <c r="F335" s="170">
        <v>5300</v>
      </c>
      <c r="G335" s="161">
        <v>6500</v>
      </c>
      <c r="H335" s="341">
        <f t="shared" si="29"/>
        <v>100</v>
      </c>
      <c r="I335" s="257">
        <f t="shared" si="30"/>
        <v>0.040880503144654086</v>
      </c>
      <c r="J335" s="6"/>
    </row>
    <row r="336" spans="1:10" ht="12.75" customHeight="1">
      <c r="A336" s="120">
        <v>1090</v>
      </c>
      <c r="B336" s="29"/>
      <c r="C336" s="13">
        <v>412500</v>
      </c>
      <c r="D336" s="29" t="s">
        <v>139</v>
      </c>
      <c r="E336" s="170">
        <v>2550</v>
      </c>
      <c r="F336" s="170">
        <v>3000</v>
      </c>
      <c r="G336" s="161">
        <v>3200</v>
      </c>
      <c r="H336" s="341">
        <f t="shared" si="29"/>
        <v>125.49019607843137</v>
      </c>
      <c r="I336" s="257">
        <f t="shared" si="30"/>
        <v>0.020125786163522015</v>
      </c>
      <c r="J336" s="6"/>
    </row>
    <row r="337" spans="1:10" ht="12.75" customHeight="1">
      <c r="A337" s="120">
        <v>1090</v>
      </c>
      <c r="B337" s="29"/>
      <c r="C337" s="13">
        <v>412600</v>
      </c>
      <c r="D337" s="43" t="s">
        <v>140</v>
      </c>
      <c r="E337" s="170">
        <v>600</v>
      </c>
      <c r="F337" s="170">
        <v>800</v>
      </c>
      <c r="G337" s="161">
        <v>600</v>
      </c>
      <c r="H337" s="341">
        <f t="shared" si="29"/>
        <v>100</v>
      </c>
      <c r="I337" s="257">
        <f t="shared" si="30"/>
        <v>0.0037735849056603774</v>
      </c>
      <c r="J337" s="6"/>
    </row>
    <row r="338" spans="1:10" ht="12.75" customHeight="1">
      <c r="A338" s="120" t="s">
        <v>29</v>
      </c>
      <c r="B338" s="65"/>
      <c r="C338" s="66">
        <v>412700</v>
      </c>
      <c r="D338" s="66" t="s">
        <v>141</v>
      </c>
      <c r="E338" s="170">
        <v>4500</v>
      </c>
      <c r="F338" s="170">
        <v>4500</v>
      </c>
      <c r="G338" s="161">
        <v>4500</v>
      </c>
      <c r="H338" s="341">
        <f t="shared" si="29"/>
        <v>100</v>
      </c>
      <c r="I338" s="257">
        <f t="shared" si="30"/>
        <v>0.02830188679245283</v>
      </c>
      <c r="J338" s="6"/>
    </row>
    <row r="339" spans="1:10" ht="12.75" customHeight="1">
      <c r="A339" s="120" t="s">
        <v>29</v>
      </c>
      <c r="B339" s="65"/>
      <c r="C339" s="66">
        <v>412900</v>
      </c>
      <c r="D339" s="66" t="s">
        <v>143</v>
      </c>
      <c r="E339" s="170">
        <v>10500</v>
      </c>
      <c r="F339" s="170">
        <v>12500</v>
      </c>
      <c r="G339" s="161">
        <v>15000</v>
      </c>
      <c r="H339" s="341">
        <f t="shared" si="29"/>
        <v>142.85714285714286</v>
      </c>
      <c r="I339" s="257">
        <f t="shared" si="30"/>
        <v>0.09433962264150944</v>
      </c>
      <c r="J339" s="6"/>
    </row>
    <row r="340" spans="1:10" ht="12.75" customHeight="1">
      <c r="A340" s="120" t="s">
        <v>29</v>
      </c>
      <c r="B340" s="65"/>
      <c r="C340" s="66">
        <v>412900</v>
      </c>
      <c r="D340" s="29" t="s">
        <v>510</v>
      </c>
      <c r="E340" s="161">
        <v>4800</v>
      </c>
      <c r="F340" s="161">
        <v>4800</v>
      </c>
      <c r="G340" s="161">
        <v>4800</v>
      </c>
      <c r="H340" s="341">
        <f t="shared" si="29"/>
        <v>100</v>
      </c>
      <c r="I340" s="257">
        <f t="shared" si="30"/>
        <v>0.03018867924528302</v>
      </c>
      <c r="J340" s="6"/>
    </row>
    <row r="341" spans="1:10" ht="14.25" customHeight="1">
      <c r="A341" s="120"/>
      <c r="B341" s="19"/>
      <c r="C341" s="13"/>
      <c r="D341" s="31" t="s">
        <v>47</v>
      </c>
      <c r="E341" s="56">
        <f>SUM(E342:E354)</f>
        <v>2353000</v>
      </c>
      <c r="F341" s="56">
        <f>SUM(F342:F354)</f>
        <v>2545000</v>
      </c>
      <c r="G341" s="56">
        <f>SUM(G342:G354)</f>
        <v>2539000</v>
      </c>
      <c r="H341" s="289">
        <f t="shared" si="29"/>
        <v>107.9048023799405</v>
      </c>
      <c r="I341" s="254">
        <f t="shared" si="30"/>
        <v>15.968553459119498</v>
      </c>
      <c r="J341" s="6"/>
    </row>
    <row r="342" spans="1:10" ht="12.75">
      <c r="A342" s="120">
        <v>1090</v>
      </c>
      <c r="B342" s="29"/>
      <c r="C342" s="13">
        <v>416100</v>
      </c>
      <c r="D342" s="26" t="s">
        <v>49</v>
      </c>
      <c r="E342" s="170">
        <v>125000</v>
      </c>
      <c r="F342" s="170">
        <v>109000</v>
      </c>
      <c r="G342" s="170">
        <v>115000</v>
      </c>
      <c r="H342" s="341">
        <f t="shared" si="29"/>
        <v>92</v>
      </c>
      <c r="I342" s="257">
        <f t="shared" si="30"/>
        <v>0.7232704402515724</v>
      </c>
      <c r="J342" s="6"/>
    </row>
    <row r="343" spans="1:10" ht="12.75" customHeight="1">
      <c r="A343" s="120" t="s">
        <v>29</v>
      </c>
      <c r="B343" s="29"/>
      <c r="C343" s="13">
        <v>416100</v>
      </c>
      <c r="D343" s="26" t="s">
        <v>210</v>
      </c>
      <c r="E343" s="170">
        <v>125000</v>
      </c>
      <c r="F343" s="170">
        <v>109000</v>
      </c>
      <c r="G343" s="170">
        <v>115000</v>
      </c>
      <c r="H343" s="341">
        <f t="shared" si="29"/>
        <v>92</v>
      </c>
      <c r="I343" s="257">
        <f t="shared" si="30"/>
        <v>0.7232704402515724</v>
      </c>
      <c r="J343" s="6"/>
    </row>
    <row r="344" spans="1:10" ht="12.75" customHeight="1">
      <c r="A344" s="120">
        <v>1090</v>
      </c>
      <c r="B344" s="29"/>
      <c r="C344" s="13">
        <v>416100</v>
      </c>
      <c r="D344" s="26" t="s">
        <v>107</v>
      </c>
      <c r="E344" s="170">
        <v>710000</v>
      </c>
      <c r="F344" s="170">
        <v>730000</v>
      </c>
      <c r="G344" s="161">
        <v>703000</v>
      </c>
      <c r="H344" s="341">
        <f t="shared" si="29"/>
        <v>99.01408450704226</v>
      </c>
      <c r="I344" s="257">
        <f t="shared" si="30"/>
        <v>4.421383647798742</v>
      </c>
      <c r="J344" s="6"/>
    </row>
    <row r="345" spans="1:10" ht="18" customHeight="1">
      <c r="A345" s="120" t="s">
        <v>29</v>
      </c>
      <c r="B345" s="29"/>
      <c r="C345" s="13">
        <v>416100</v>
      </c>
      <c r="D345" s="26" t="s">
        <v>211</v>
      </c>
      <c r="E345" s="170">
        <v>710000</v>
      </c>
      <c r="F345" s="170">
        <v>730000</v>
      </c>
      <c r="G345" s="161">
        <v>703000</v>
      </c>
      <c r="H345" s="341">
        <f t="shared" si="29"/>
        <v>99.01408450704226</v>
      </c>
      <c r="I345" s="257">
        <f t="shared" si="30"/>
        <v>4.421383647798742</v>
      </c>
      <c r="J345" s="6"/>
    </row>
    <row r="346" spans="1:10" ht="12.75" customHeight="1">
      <c r="A346" s="120">
        <v>1090</v>
      </c>
      <c r="B346" s="29"/>
      <c r="C346" s="34">
        <v>416100</v>
      </c>
      <c r="D346" s="26" t="s">
        <v>51</v>
      </c>
      <c r="E346" s="170">
        <v>28000</v>
      </c>
      <c r="F346" s="170">
        <v>28000</v>
      </c>
      <c r="G346" s="170">
        <v>40000</v>
      </c>
      <c r="H346" s="341">
        <f t="shared" si="29"/>
        <v>142.85714285714286</v>
      </c>
      <c r="I346" s="257">
        <f t="shared" si="30"/>
        <v>0.25157232704402516</v>
      </c>
      <c r="J346" s="6"/>
    </row>
    <row r="347" spans="1:10" ht="12.75" customHeight="1">
      <c r="A347" s="120">
        <v>1090</v>
      </c>
      <c r="B347" s="29"/>
      <c r="C347" s="34">
        <v>416100</v>
      </c>
      <c r="D347" s="26" t="s">
        <v>52</v>
      </c>
      <c r="E347" s="170">
        <v>75000</v>
      </c>
      <c r="F347" s="170">
        <v>75000</v>
      </c>
      <c r="G347" s="161">
        <v>70000</v>
      </c>
      <c r="H347" s="341">
        <f t="shared" si="29"/>
        <v>93.33333333333333</v>
      </c>
      <c r="I347" s="257">
        <f t="shared" si="30"/>
        <v>0.44025157232704404</v>
      </c>
      <c r="J347" s="6"/>
    </row>
    <row r="348" spans="1:10" ht="26.25" customHeight="1">
      <c r="A348" s="120" t="s">
        <v>29</v>
      </c>
      <c r="B348" s="29"/>
      <c r="C348" s="34">
        <v>416100</v>
      </c>
      <c r="D348" s="26" t="s">
        <v>503</v>
      </c>
      <c r="E348" s="170">
        <v>0</v>
      </c>
      <c r="F348" s="170">
        <v>225000</v>
      </c>
      <c r="G348" s="161">
        <v>250000</v>
      </c>
      <c r="H348" s="341">
        <f t="shared" si="29"/>
        <v>0</v>
      </c>
      <c r="I348" s="257">
        <f t="shared" si="30"/>
        <v>1.5723270440251573</v>
      </c>
      <c r="J348" s="6"/>
    </row>
    <row r="349" spans="1:10" ht="36" customHeight="1">
      <c r="A349" s="120" t="s">
        <v>29</v>
      </c>
      <c r="B349" s="29"/>
      <c r="C349" s="34">
        <v>416100</v>
      </c>
      <c r="D349" s="26" t="s">
        <v>590</v>
      </c>
      <c r="E349" s="170">
        <v>0</v>
      </c>
      <c r="F349" s="170">
        <v>0</v>
      </c>
      <c r="G349" s="161">
        <v>24000</v>
      </c>
      <c r="H349" s="341">
        <f>IF(E349&gt;0,G349/E349*100,0)</f>
        <v>0</v>
      </c>
      <c r="I349" s="257">
        <f t="shared" si="30"/>
        <v>0.1509433962264151</v>
      </c>
      <c r="J349" s="6"/>
    </row>
    <row r="350" spans="1:10" ht="12.75" customHeight="1">
      <c r="A350" s="120" t="s">
        <v>29</v>
      </c>
      <c r="B350" s="29"/>
      <c r="C350" s="13">
        <v>416300</v>
      </c>
      <c r="D350" s="29" t="s">
        <v>50</v>
      </c>
      <c r="E350" s="170">
        <v>130000</v>
      </c>
      <c r="F350" s="170">
        <v>125000</v>
      </c>
      <c r="G350" s="161">
        <v>120000</v>
      </c>
      <c r="H350" s="341">
        <f t="shared" si="29"/>
        <v>92.3076923076923</v>
      </c>
      <c r="I350" s="257">
        <f t="shared" si="30"/>
        <v>0.7547169811320755</v>
      </c>
      <c r="J350" s="6"/>
    </row>
    <row r="351" spans="1:10" ht="12.75" customHeight="1">
      <c r="A351" s="120">
        <v>1090</v>
      </c>
      <c r="B351" s="29"/>
      <c r="C351" s="13">
        <v>416300</v>
      </c>
      <c r="D351" s="26" t="s">
        <v>106</v>
      </c>
      <c r="E351" s="170">
        <v>270000</v>
      </c>
      <c r="F351" s="170">
        <v>275000</v>
      </c>
      <c r="G351" s="161">
        <v>253000</v>
      </c>
      <c r="H351" s="341">
        <f t="shared" si="29"/>
        <v>93.7037037037037</v>
      </c>
      <c r="I351" s="257">
        <f t="shared" si="30"/>
        <v>1.5911949685534592</v>
      </c>
      <c r="J351" s="6"/>
    </row>
    <row r="352" spans="1:10" ht="24.75" customHeight="1">
      <c r="A352" s="120" t="s">
        <v>29</v>
      </c>
      <c r="B352" s="29"/>
      <c r="C352" s="13">
        <v>418200</v>
      </c>
      <c r="D352" s="26" t="s">
        <v>582</v>
      </c>
      <c r="E352" s="170">
        <v>50000</v>
      </c>
      <c r="F352" s="170">
        <v>28000</v>
      </c>
      <c r="G352" s="170">
        <v>25000</v>
      </c>
      <c r="H352" s="341">
        <f t="shared" si="29"/>
        <v>50</v>
      </c>
      <c r="I352" s="257">
        <f t="shared" si="30"/>
        <v>0.15723270440251574</v>
      </c>
      <c r="J352" s="6"/>
    </row>
    <row r="353" spans="1:10" ht="12.75" customHeight="1">
      <c r="A353" s="120" t="s">
        <v>29</v>
      </c>
      <c r="B353" s="19"/>
      <c r="C353" s="34">
        <v>487400</v>
      </c>
      <c r="D353" s="30" t="s">
        <v>48</v>
      </c>
      <c r="E353" s="181">
        <v>75000</v>
      </c>
      <c r="F353" s="181">
        <v>65000</v>
      </c>
      <c r="G353" s="181">
        <v>70000</v>
      </c>
      <c r="H353" s="341">
        <f t="shared" si="29"/>
        <v>93.33333333333333</v>
      </c>
      <c r="I353" s="257">
        <f t="shared" si="30"/>
        <v>0.44025157232704404</v>
      </c>
      <c r="J353" s="6"/>
    </row>
    <row r="354" spans="1:10" ht="12.75" customHeight="1">
      <c r="A354" s="120" t="s">
        <v>29</v>
      </c>
      <c r="B354" s="29"/>
      <c r="C354" s="34">
        <v>487400</v>
      </c>
      <c r="D354" s="30" t="s">
        <v>212</v>
      </c>
      <c r="E354" s="181">
        <v>55000</v>
      </c>
      <c r="F354" s="181">
        <v>46000</v>
      </c>
      <c r="G354" s="181">
        <v>51000</v>
      </c>
      <c r="H354" s="341">
        <f t="shared" si="29"/>
        <v>92.72727272727272</v>
      </c>
      <c r="I354" s="257">
        <f t="shared" si="30"/>
        <v>0.32075471698113206</v>
      </c>
      <c r="J354" s="6"/>
    </row>
    <row r="355" spans="1:10" ht="12.75" customHeight="1">
      <c r="A355" s="120"/>
      <c r="B355" s="19">
        <v>419000</v>
      </c>
      <c r="C355" s="13"/>
      <c r="D355" s="28" t="s">
        <v>368</v>
      </c>
      <c r="E355" s="162">
        <f>SUM(E356)</f>
        <v>2500</v>
      </c>
      <c r="F355" s="162">
        <f>SUM(F356)</f>
        <v>2500</v>
      </c>
      <c r="G355" s="162">
        <f>SUM(G356)</f>
        <v>1000</v>
      </c>
      <c r="H355" s="289">
        <f t="shared" si="29"/>
        <v>40</v>
      </c>
      <c r="I355" s="254">
        <f t="shared" si="30"/>
        <v>0.006289308176100628</v>
      </c>
      <c r="J355" s="6"/>
    </row>
    <row r="356" spans="1:10" ht="12.75" customHeight="1">
      <c r="A356" s="120" t="s">
        <v>29</v>
      </c>
      <c r="B356" s="29"/>
      <c r="C356" s="13">
        <v>419100</v>
      </c>
      <c r="D356" s="29" t="s">
        <v>368</v>
      </c>
      <c r="E356" s="170">
        <v>2500</v>
      </c>
      <c r="F356" s="170">
        <v>2500</v>
      </c>
      <c r="G356" s="170">
        <v>1000</v>
      </c>
      <c r="H356" s="341">
        <f t="shared" si="29"/>
        <v>40</v>
      </c>
      <c r="I356" s="257">
        <f t="shared" si="30"/>
        <v>0.006289308176100628</v>
      </c>
      <c r="J356" s="6"/>
    </row>
    <row r="357" spans="1:10" ht="14.25" customHeight="1">
      <c r="A357" s="120"/>
      <c r="B357" s="19">
        <v>511000</v>
      </c>
      <c r="C357" s="13"/>
      <c r="D357" s="28" t="s">
        <v>152</v>
      </c>
      <c r="E357" s="162">
        <f>SUM(E358:E359)</f>
        <v>2000</v>
      </c>
      <c r="F357" s="162">
        <f>SUM(F358:F359)</f>
        <v>2000</v>
      </c>
      <c r="G357" s="162">
        <f>SUM(G358:G359)</f>
        <v>1500</v>
      </c>
      <c r="H357" s="289">
        <f t="shared" si="29"/>
        <v>75</v>
      </c>
      <c r="I357" s="254">
        <f t="shared" si="30"/>
        <v>0.009433962264150943</v>
      </c>
      <c r="J357" s="6"/>
    </row>
    <row r="358" spans="1:10" ht="14.25" customHeight="1" hidden="1">
      <c r="A358" s="120" t="s">
        <v>29</v>
      </c>
      <c r="B358" s="19"/>
      <c r="C358" s="13">
        <v>511200</v>
      </c>
      <c r="D358" s="45" t="s">
        <v>504</v>
      </c>
      <c r="E358" s="170">
        <v>0</v>
      </c>
      <c r="F358" s="170"/>
      <c r="G358" s="170"/>
      <c r="H358" s="289">
        <f t="shared" si="29"/>
        <v>0</v>
      </c>
      <c r="I358" s="257">
        <f t="shared" si="30"/>
        <v>0</v>
      </c>
      <c r="J358" s="6"/>
    </row>
    <row r="359" spans="1:10" ht="12.75" customHeight="1">
      <c r="A359" s="120">
        <v>1090</v>
      </c>
      <c r="B359" s="29"/>
      <c r="C359" s="13">
        <v>511300</v>
      </c>
      <c r="D359" s="29" t="s">
        <v>2</v>
      </c>
      <c r="E359" s="170">
        <v>2000</v>
      </c>
      <c r="F359" s="170">
        <v>2000</v>
      </c>
      <c r="G359" s="170">
        <v>1500</v>
      </c>
      <c r="H359" s="341">
        <f t="shared" si="29"/>
        <v>75</v>
      </c>
      <c r="I359" s="257">
        <f t="shared" si="30"/>
        <v>0.009433962264150943</v>
      </c>
      <c r="J359" s="6"/>
    </row>
    <row r="360" spans="1:10" ht="24" customHeight="1">
      <c r="A360" s="178"/>
      <c r="B360" s="19">
        <v>516000</v>
      </c>
      <c r="C360" s="29"/>
      <c r="D360" s="28" t="s">
        <v>348</v>
      </c>
      <c r="E360" s="56">
        <f>SUM(E361)</f>
        <v>1000</v>
      </c>
      <c r="F360" s="56">
        <f>SUM(F361)</f>
        <v>1000</v>
      </c>
      <c r="G360" s="56">
        <f>SUM(G361)</f>
        <v>1000</v>
      </c>
      <c r="H360" s="289">
        <f t="shared" si="29"/>
        <v>100</v>
      </c>
      <c r="I360" s="254">
        <f t="shared" si="30"/>
        <v>0.006289308176100628</v>
      </c>
      <c r="J360" s="6"/>
    </row>
    <row r="361" spans="1:10" ht="13.5" customHeight="1">
      <c r="A361" s="178" t="s">
        <v>29</v>
      </c>
      <c r="B361" s="29"/>
      <c r="C361" s="29">
        <v>516100</v>
      </c>
      <c r="D361" s="26" t="s">
        <v>329</v>
      </c>
      <c r="E361" s="170">
        <v>1000</v>
      </c>
      <c r="F361" s="170">
        <v>1000</v>
      </c>
      <c r="G361" s="170">
        <v>1000</v>
      </c>
      <c r="H361" s="341">
        <f t="shared" si="29"/>
        <v>100</v>
      </c>
      <c r="I361" s="257">
        <f t="shared" si="30"/>
        <v>0.006289308176100628</v>
      </c>
      <c r="J361" s="6"/>
    </row>
    <row r="362" spans="1:10" ht="24">
      <c r="A362" s="178"/>
      <c r="B362" s="19">
        <v>638000</v>
      </c>
      <c r="C362" s="13"/>
      <c r="D362" s="28" t="s">
        <v>382</v>
      </c>
      <c r="E362" s="56">
        <f>SUM(E363)</f>
        <v>1000</v>
      </c>
      <c r="F362" s="56">
        <f>SUM(F363)</f>
        <v>1300</v>
      </c>
      <c r="G362" s="56">
        <f>SUM(G363)</f>
        <v>18000</v>
      </c>
      <c r="H362" s="289">
        <f t="shared" si="29"/>
        <v>1800</v>
      </c>
      <c r="I362" s="254">
        <f t="shared" si="30"/>
        <v>0.11320754716981132</v>
      </c>
      <c r="J362" s="6"/>
    </row>
    <row r="363" spans="1:10" ht="36">
      <c r="A363" s="120"/>
      <c r="B363" s="29"/>
      <c r="C363" s="13">
        <v>638100</v>
      </c>
      <c r="D363" s="26" t="s">
        <v>383</v>
      </c>
      <c r="E363" s="170">
        <v>1000</v>
      </c>
      <c r="F363" s="170">
        <v>1300</v>
      </c>
      <c r="G363" s="161">
        <v>18000</v>
      </c>
      <c r="H363" s="341">
        <f t="shared" si="29"/>
        <v>1800</v>
      </c>
      <c r="I363" s="257">
        <f t="shared" si="30"/>
        <v>0.11320754716981132</v>
      </c>
      <c r="J363" s="6"/>
    </row>
    <row r="364" spans="1:10" ht="30" customHeight="1">
      <c r="A364" s="550"/>
      <c r="B364" s="551"/>
      <c r="C364" s="546" t="s">
        <v>88</v>
      </c>
      <c r="D364" s="547"/>
      <c r="E364" s="60">
        <f>E327+E332+E341+E355+E357+E360+E362</f>
        <v>2744800</v>
      </c>
      <c r="F364" s="60">
        <f>F327+F332+F341+F355+F357+F360+F362</f>
        <v>2940450</v>
      </c>
      <c r="G364" s="60">
        <f>G327+G332+G341+G355+G357+G360+G362</f>
        <v>2971950</v>
      </c>
      <c r="H364" s="435">
        <f t="shared" si="29"/>
        <v>108.27564849897988</v>
      </c>
      <c r="I364" s="263">
        <f t="shared" si="30"/>
        <v>18.691509433962263</v>
      </c>
      <c r="J364" s="6"/>
    </row>
    <row r="365" spans="1:10" ht="12.75">
      <c r="A365" s="398"/>
      <c r="B365" s="399"/>
      <c r="C365" s="544" t="s">
        <v>346</v>
      </c>
      <c r="D365" s="548"/>
      <c r="E365" s="405"/>
      <c r="F365" s="405"/>
      <c r="G365" s="405"/>
      <c r="H365" s="405"/>
      <c r="I365" s="420"/>
      <c r="J365" s="6"/>
    </row>
    <row r="366" spans="1:10" ht="12.75">
      <c r="A366" s="400"/>
      <c r="B366" s="401"/>
      <c r="C366" s="549"/>
      <c r="D366" s="548"/>
      <c r="E366" s="407"/>
      <c r="F366" s="407"/>
      <c r="G366" s="407"/>
      <c r="H366" s="407"/>
      <c r="I366" s="421"/>
      <c r="J366" s="6"/>
    </row>
    <row r="367" spans="1:10" ht="12.75">
      <c r="A367" s="402"/>
      <c r="B367" s="403"/>
      <c r="C367" s="549"/>
      <c r="D367" s="548"/>
      <c r="E367" s="409"/>
      <c r="F367" s="409"/>
      <c r="G367" s="409"/>
      <c r="H367" s="409"/>
      <c r="I367" s="422"/>
      <c r="J367" s="6"/>
    </row>
    <row r="368" spans="1:10" ht="12.75">
      <c r="A368" s="120"/>
      <c r="B368" s="19">
        <v>411000</v>
      </c>
      <c r="C368" s="29"/>
      <c r="D368" s="22" t="s">
        <v>384</v>
      </c>
      <c r="E368" s="287">
        <f>SUM(E369:E372)</f>
        <v>557000</v>
      </c>
      <c r="F368" s="287">
        <f>SUM(F369:F372)</f>
        <v>549700</v>
      </c>
      <c r="G368" s="287">
        <f>SUM(G369:G372)</f>
        <v>549000</v>
      </c>
      <c r="H368" s="289">
        <f aca="true" t="shared" si="31" ref="H368:H393">IF(E368&gt;0,G368/E368*100,0)</f>
        <v>98.56373429084381</v>
      </c>
      <c r="I368" s="290">
        <f aca="true" t="shared" si="32" ref="I368:I393">G368/$G$534*100</f>
        <v>3.4528301886792456</v>
      </c>
      <c r="J368" s="6"/>
    </row>
    <row r="369" spans="1:10" ht="12.75">
      <c r="A369" s="120" t="s">
        <v>54</v>
      </c>
      <c r="B369" s="29"/>
      <c r="C369" s="13">
        <v>411100</v>
      </c>
      <c r="D369" s="23" t="s">
        <v>380</v>
      </c>
      <c r="E369" s="170">
        <v>436000</v>
      </c>
      <c r="F369" s="170">
        <v>416700</v>
      </c>
      <c r="G369" s="170">
        <v>430000</v>
      </c>
      <c r="H369" s="341">
        <f t="shared" si="31"/>
        <v>98.62385321100918</v>
      </c>
      <c r="I369" s="257">
        <f t="shared" si="32"/>
        <v>2.7044025157232707</v>
      </c>
      <c r="J369" s="6"/>
    </row>
    <row r="370" spans="1:10" ht="22.5" customHeight="1">
      <c r="A370" s="120" t="s">
        <v>54</v>
      </c>
      <c r="B370" s="29"/>
      <c r="C370" s="13">
        <v>411200</v>
      </c>
      <c r="D370" s="23" t="s">
        <v>385</v>
      </c>
      <c r="E370" s="170">
        <v>115000</v>
      </c>
      <c r="F370" s="170">
        <v>115000</v>
      </c>
      <c r="G370" s="170">
        <v>105000</v>
      </c>
      <c r="H370" s="341">
        <f t="shared" si="31"/>
        <v>91.30434782608695</v>
      </c>
      <c r="I370" s="257">
        <f t="shared" si="32"/>
        <v>0.6603773584905661</v>
      </c>
      <c r="J370" s="6"/>
    </row>
    <row r="371" spans="1:10" ht="26.25" customHeight="1">
      <c r="A371" s="120" t="s">
        <v>54</v>
      </c>
      <c r="B371" s="29"/>
      <c r="C371" s="13">
        <v>411300</v>
      </c>
      <c r="D371" s="23" t="s">
        <v>494</v>
      </c>
      <c r="E371" s="170">
        <v>4000</v>
      </c>
      <c r="F371" s="161">
        <v>14000</v>
      </c>
      <c r="G371" s="170">
        <v>12000</v>
      </c>
      <c r="H371" s="341">
        <f t="shared" si="31"/>
        <v>300</v>
      </c>
      <c r="I371" s="257">
        <f t="shared" si="32"/>
        <v>0.07547169811320754</v>
      </c>
      <c r="J371" s="6"/>
    </row>
    <row r="372" spans="1:10" ht="12.75">
      <c r="A372" s="120" t="s">
        <v>54</v>
      </c>
      <c r="B372" s="29"/>
      <c r="C372" s="13">
        <v>411400</v>
      </c>
      <c r="D372" s="25" t="s">
        <v>381</v>
      </c>
      <c r="E372" s="170">
        <v>2000</v>
      </c>
      <c r="F372" s="161">
        <v>4000</v>
      </c>
      <c r="G372" s="170">
        <v>2000</v>
      </c>
      <c r="H372" s="341">
        <f t="shared" si="31"/>
        <v>100</v>
      </c>
      <c r="I372" s="257">
        <f t="shared" si="32"/>
        <v>0.012578616352201257</v>
      </c>
      <c r="J372" s="6"/>
    </row>
    <row r="373" spans="1:10" ht="12.75">
      <c r="A373" s="120"/>
      <c r="B373" s="19">
        <v>412000</v>
      </c>
      <c r="C373" s="13"/>
      <c r="D373" s="28" t="s">
        <v>134</v>
      </c>
      <c r="E373" s="162">
        <f>SUM(E374:E385)</f>
        <v>144900</v>
      </c>
      <c r="F373" s="162">
        <f>SUM(F374:F385)</f>
        <v>129458</v>
      </c>
      <c r="G373" s="162">
        <f>SUM(G374:G385)</f>
        <v>128500</v>
      </c>
      <c r="H373" s="289">
        <f t="shared" si="31"/>
        <v>88.68184955141477</v>
      </c>
      <c r="I373" s="254">
        <f t="shared" si="32"/>
        <v>0.8081761006289307</v>
      </c>
      <c r="J373" s="6"/>
    </row>
    <row r="374" spans="1:10" ht="24">
      <c r="A374" s="120" t="s">
        <v>54</v>
      </c>
      <c r="B374" s="19"/>
      <c r="C374" s="13">
        <v>412200</v>
      </c>
      <c r="D374" s="26" t="s">
        <v>136</v>
      </c>
      <c r="E374" s="170">
        <v>43000</v>
      </c>
      <c r="F374" s="170">
        <v>38000</v>
      </c>
      <c r="G374" s="170">
        <v>43000</v>
      </c>
      <c r="H374" s="341">
        <f t="shared" si="31"/>
        <v>100</v>
      </c>
      <c r="I374" s="257">
        <f t="shared" si="32"/>
        <v>0.27044025157232704</v>
      </c>
      <c r="J374" s="6"/>
    </row>
    <row r="375" spans="1:10" ht="12.75">
      <c r="A375" s="120" t="s">
        <v>54</v>
      </c>
      <c r="B375" s="19"/>
      <c r="C375" s="13">
        <v>412300</v>
      </c>
      <c r="D375" s="29" t="s">
        <v>137</v>
      </c>
      <c r="E375" s="170">
        <v>8000</v>
      </c>
      <c r="F375" s="170">
        <v>8000</v>
      </c>
      <c r="G375" s="170">
        <v>8000</v>
      </c>
      <c r="H375" s="341">
        <f t="shared" si="31"/>
        <v>100</v>
      </c>
      <c r="I375" s="257">
        <f t="shared" si="32"/>
        <v>0.05031446540880503</v>
      </c>
      <c r="J375" s="6"/>
    </row>
    <row r="376" spans="1:10" ht="12.75">
      <c r="A376" s="120" t="s">
        <v>54</v>
      </c>
      <c r="B376" s="19"/>
      <c r="C376" s="13">
        <v>412400</v>
      </c>
      <c r="D376" s="26" t="s">
        <v>138</v>
      </c>
      <c r="E376" s="161">
        <v>60000</v>
      </c>
      <c r="F376" s="161">
        <v>55500</v>
      </c>
      <c r="G376" s="161">
        <v>50000</v>
      </c>
      <c r="H376" s="341">
        <f t="shared" si="31"/>
        <v>83.33333333333334</v>
      </c>
      <c r="I376" s="257">
        <f t="shared" si="32"/>
        <v>0.3144654088050315</v>
      </c>
      <c r="J376" s="6"/>
    </row>
    <row r="377" spans="1:10" ht="24">
      <c r="A377" s="120" t="s">
        <v>54</v>
      </c>
      <c r="B377" s="19"/>
      <c r="C377" s="13">
        <v>412400</v>
      </c>
      <c r="D377" s="26" t="s">
        <v>571</v>
      </c>
      <c r="E377" s="161">
        <v>0</v>
      </c>
      <c r="F377" s="161">
        <v>500</v>
      </c>
      <c r="G377" s="161">
        <v>0</v>
      </c>
      <c r="H377" s="341">
        <f t="shared" si="31"/>
        <v>0</v>
      </c>
      <c r="I377" s="257">
        <f t="shared" si="32"/>
        <v>0</v>
      </c>
      <c r="J377" s="6"/>
    </row>
    <row r="378" spans="1:10" ht="24">
      <c r="A378" s="120" t="s">
        <v>54</v>
      </c>
      <c r="B378" s="19"/>
      <c r="C378" s="13">
        <v>412400</v>
      </c>
      <c r="D378" s="26" t="s">
        <v>570</v>
      </c>
      <c r="E378" s="161">
        <v>0</v>
      </c>
      <c r="F378" s="161">
        <v>500</v>
      </c>
      <c r="G378" s="161">
        <v>0</v>
      </c>
      <c r="H378" s="341">
        <f t="shared" si="31"/>
        <v>0</v>
      </c>
      <c r="I378" s="257">
        <f t="shared" si="32"/>
        <v>0</v>
      </c>
      <c r="J378" s="6"/>
    </row>
    <row r="379" spans="1:10" ht="12.75">
      <c r="A379" s="120" t="s">
        <v>54</v>
      </c>
      <c r="B379" s="19"/>
      <c r="C379" s="13">
        <v>412500</v>
      </c>
      <c r="D379" s="29" t="s">
        <v>139</v>
      </c>
      <c r="E379" s="161">
        <v>20000</v>
      </c>
      <c r="F379" s="161">
        <v>9500</v>
      </c>
      <c r="G379" s="161">
        <v>10000</v>
      </c>
      <c r="H379" s="341">
        <f t="shared" si="31"/>
        <v>50</v>
      </c>
      <c r="I379" s="257">
        <f t="shared" si="32"/>
        <v>0.06289308176100629</v>
      </c>
      <c r="J379" s="6"/>
    </row>
    <row r="380" spans="1:10" ht="12.75">
      <c r="A380" s="120" t="s">
        <v>54</v>
      </c>
      <c r="B380" s="19"/>
      <c r="C380" s="13">
        <v>412600</v>
      </c>
      <c r="D380" s="29" t="s">
        <v>140</v>
      </c>
      <c r="E380" s="161">
        <v>1000</v>
      </c>
      <c r="F380" s="161">
        <v>1000</v>
      </c>
      <c r="G380" s="161">
        <v>1000</v>
      </c>
      <c r="H380" s="341">
        <f t="shared" si="31"/>
        <v>100</v>
      </c>
      <c r="I380" s="257">
        <f t="shared" si="32"/>
        <v>0.006289308176100628</v>
      </c>
      <c r="J380" s="6"/>
    </row>
    <row r="381" spans="1:10" ht="12.75">
      <c r="A381" s="120" t="s">
        <v>54</v>
      </c>
      <c r="B381" s="19"/>
      <c r="C381" s="66">
        <v>412700</v>
      </c>
      <c r="D381" s="66" t="s">
        <v>141</v>
      </c>
      <c r="E381" s="161">
        <v>1500</v>
      </c>
      <c r="F381" s="161">
        <v>1250</v>
      </c>
      <c r="G381" s="161">
        <v>1500</v>
      </c>
      <c r="H381" s="341">
        <f t="shared" si="31"/>
        <v>100</v>
      </c>
      <c r="I381" s="257">
        <f t="shared" si="32"/>
        <v>0.009433962264150943</v>
      </c>
      <c r="J381" s="6"/>
    </row>
    <row r="382" spans="1:10" ht="12.75">
      <c r="A382" s="120" t="s">
        <v>54</v>
      </c>
      <c r="B382" s="19"/>
      <c r="C382" s="66">
        <v>412900</v>
      </c>
      <c r="D382" s="66" t="s">
        <v>143</v>
      </c>
      <c r="E382" s="161">
        <v>6500</v>
      </c>
      <c r="F382" s="161">
        <v>9500</v>
      </c>
      <c r="G382" s="161">
        <v>9000</v>
      </c>
      <c r="H382" s="341">
        <f t="shared" si="31"/>
        <v>138.46153846153845</v>
      </c>
      <c r="I382" s="257">
        <f t="shared" si="32"/>
        <v>0.05660377358490566</v>
      </c>
      <c r="J382" s="6"/>
    </row>
    <row r="383" spans="1:10" ht="24">
      <c r="A383" s="120" t="s">
        <v>54</v>
      </c>
      <c r="B383" s="19"/>
      <c r="C383" s="66">
        <v>412900</v>
      </c>
      <c r="D383" s="26" t="s">
        <v>573</v>
      </c>
      <c r="E383" s="161">
        <v>0</v>
      </c>
      <c r="F383" s="161">
        <v>300</v>
      </c>
      <c r="G383" s="161">
        <v>0</v>
      </c>
      <c r="H383" s="341">
        <f t="shared" si="31"/>
        <v>0</v>
      </c>
      <c r="I383" s="257">
        <f t="shared" si="32"/>
        <v>0</v>
      </c>
      <c r="J383" s="6"/>
    </row>
    <row r="384" spans="1:10" ht="36">
      <c r="A384" s="120" t="s">
        <v>54</v>
      </c>
      <c r="B384" s="19"/>
      <c r="C384" s="66">
        <v>412900</v>
      </c>
      <c r="D384" s="26" t="s">
        <v>572</v>
      </c>
      <c r="E384" s="161">
        <v>0</v>
      </c>
      <c r="F384" s="161">
        <v>500</v>
      </c>
      <c r="G384" s="161">
        <v>0</v>
      </c>
      <c r="H384" s="341">
        <f t="shared" si="31"/>
        <v>0</v>
      </c>
      <c r="I384" s="257">
        <f t="shared" si="32"/>
        <v>0</v>
      </c>
      <c r="J384" s="6"/>
    </row>
    <row r="385" spans="1:10" ht="36">
      <c r="A385" s="120" t="s">
        <v>54</v>
      </c>
      <c r="B385" s="19"/>
      <c r="C385" s="66">
        <v>412900</v>
      </c>
      <c r="D385" s="26" t="s">
        <v>410</v>
      </c>
      <c r="E385" s="170">
        <v>4900</v>
      </c>
      <c r="F385" s="170">
        <v>4908</v>
      </c>
      <c r="G385" s="161">
        <v>6000</v>
      </c>
      <c r="H385" s="341">
        <f t="shared" si="31"/>
        <v>122.44897959183673</v>
      </c>
      <c r="I385" s="257">
        <f t="shared" si="32"/>
        <v>0.03773584905660377</v>
      </c>
      <c r="J385" s="6"/>
    </row>
    <row r="386" spans="1:10" ht="12.75">
      <c r="A386" s="120"/>
      <c r="B386" s="29">
        <v>511000</v>
      </c>
      <c r="C386" s="13"/>
      <c r="D386" s="28" t="s">
        <v>152</v>
      </c>
      <c r="E386" s="162">
        <f>SUM(E387)</f>
        <v>10000</v>
      </c>
      <c r="F386" s="162">
        <f>SUM(F387)</f>
        <v>10000</v>
      </c>
      <c r="G386" s="162">
        <f>SUM(G387)</f>
        <v>9000</v>
      </c>
      <c r="H386" s="289">
        <f t="shared" si="31"/>
        <v>90</v>
      </c>
      <c r="I386" s="254">
        <f t="shared" si="32"/>
        <v>0.05660377358490566</v>
      </c>
      <c r="J386" s="6"/>
    </row>
    <row r="387" spans="1:10" ht="12.75">
      <c r="A387" s="120" t="s">
        <v>54</v>
      </c>
      <c r="B387" s="29"/>
      <c r="C387" s="13">
        <v>511300</v>
      </c>
      <c r="D387" s="29" t="s">
        <v>2</v>
      </c>
      <c r="E387" s="161">
        <v>10000</v>
      </c>
      <c r="F387" s="161">
        <v>10000</v>
      </c>
      <c r="G387" s="161">
        <v>9000</v>
      </c>
      <c r="H387" s="341">
        <f t="shared" si="31"/>
        <v>90</v>
      </c>
      <c r="I387" s="257">
        <f t="shared" si="32"/>
        <v>0.05660377358490566</v>
      </c>
      <c r="J387" s="6"/>
    </row>
    <row r="388" spans="1:10" ht="24">
      <c r="A388" s="120"/>
      <c r="B388" s="29">
        <v>516000</v>
      </c>
      <c r="C388" s="13"/>
      <c r="D388" s="50" t="s">
        <v>348</v>
      </c>
      <c r="E388" s="162">
        <f>SUM(E389:E390)</f>
        <v>2500</v>
      </c>
      <c r="F388" s="162">
        <f>SUM(F389:F390)</f>
        <v>2600</v>
      </c>
      <c r="G388" s="162">
        <f>SUM(G389:G390)</f>
        <v>2500</v>
      </c>
      <c r="H388" s="289">
        <f t="shared" si="31"/>
        <v>100</v>
      </c>
      <c r="I388" s="254">
        <f t="shared" si="32"/>
        <v>0.015723270440251572</v>
      </c>
      <c r="J388" s="6"/>
    </row>
    <row r="389" spans="1:10" ht="12.75">
      <c r="A389" s="120" t="s">
        <v>54</v>
      </c>
      <c r="B389" s="29"/>
      <c r="C389" s="13">
        <v>516100</v>
      </c>
      <c r="D389" s="29" t="s">
        <v>330</v>
      </c>
      <c r="E389" s="170">
        <v>2500</v>
      </c>
      <c r="F389" s="170">
        <v>2200</v>
      </c>
      <c r="G389" s="170">
        <v>2500</v>
      </c>
      <c r="H389" s="341">
        <f t="shared" si="31"/>
        <v>100</v>
      </c>
      <c r="I389" s="257">
        <f t="shared" si="32"/>
        <v>0.015723270440251572</v>
      </c>
      <c r="J389" s="6"/>
    </row>
    <row r="390" spans="1:10" ht="36">
      <c r="A390" s="120" t="s">
        <v>54</v>
      </c>
      <c r="B390" s="29"/>
      <c r="C390" s="13">
        <v>516100</v>
      </c>
      <c r="D390" s="26" t="s">
        <v>546</v>
      </c>
      <c r="E390" s="170">
        <v>0</v>
      </c>
      <c r="F390" s="170">
        <v>400</v>
      </c>
      <c r="G390" s="170">
        <v>0</v>
      </c>
      <c r="H390" s="341">
        <f t="shared" si="31"/>
        <v>0</v>
      </c>
      <c r="I390" s="257">
        <f t="shared" si="32"/>
        <v>0</v>
      </c>
      <c r="J390" s="6"/>
    </row>
    <row r="391" spans="1:10" ht="24">
      <c r="A391" s="120"/>
      <c r="B391" s="19">
        <v>638000</v>
      </c>
      <c r="C391" s="13"/>
      <c r="D391" s="28" t="s">
        <v>382</v>
      </c>
      <c r="E391" s="56">
        <f>SUM(E392)</f>
        <v>30000</v>
      </c>
      <c r="F391" s="56">
        <f>SUM(F392)</f>
        <v>42300</v>
      </c>
      <c r="G391" s="56">
        <f>SUM(G392)</f>
        <v>47000</v>
      </c>
      <c r="H391" s="289">
        <f t="shared" si="31"/>
        <v>156.66666666666666</v>
      </c>
      <c r="I391" s="254">
        <f t="shared" si="32"/>
        <v>0.29559748427672955</v>
      </c>
      <c r="J391" s="6"/>
    </row>
    <row r="392" spans="1:10" ht="36">
      <c r="A392" s="120"/>
      <c r="B392" s="29"/>
      <c r="C392" s="13">
        <v>638100</v>
      </c>
      <c r="D392" s="26" t="s">
        <v>383</v>
      </c>
      <c r="E392" s="170">
        <v>30000</v>
      </c>
      <c r="F392" s="170">
        <v>42300</v>
      </c>
      <c r="G392" s="170">
        <v>47000</v>
      </c>
      <c r="H392" s="341">
        <f t="shared" si="31"/>
        <v>156.66666666666666</v>
      </c>
      <c r="I392" s="257">
        <f t="shared" si="32"/>
        <v>0.29559748427672955</v>
      </c>
      <c r="J392" s="6"/>
    </row>
    <row r="393" spans="1:10" ht="25.5" customHeight="1">
      <c r="A393" s="550"/>
      <c r="B393" s="551"/>
      <c r="C393" s="546" t="s">
        <v>92</v>
      </c>
      <c r="D393" s="547"/>
      <c r="E393" s="60">
        <f>E368+E373+E386+E388+E391</f>
        <v>744400</v>
      </c>
      <c r="F393" s="60">
        <f>F368+F373+F386+F388+F391</f>
        <v>734058</v>
      </c>
      <c r="G393" s="60">
        <f>G368+G373+G386+G388+G391</f>
        <v>736000</v>
      </c>
      <c r="H393" s="435">
        <f t="shared" si="31"/>
        <v>98.87157442235358</v>
      </c>
      <c r="I393" s="263">
        <f t="shared" si="32"/>
        <v>4.628930817610063</v>
      </c>
      <c r="J393" s="6"/>
    </row>
    <row r="394" spans="1:10" ht="9.75" customHeight="1">
      <c r="A394" s="550"/>
      <c r="B394" s="551"/>
      <c r="C394" s="544" t="s">
        <v>343</v>
      </c>
      <c r="D394" s="548"/>
      <c r="E394" s="149"/>
      <c r="F394" s="149"/>
      <c r="G394" s="149"/>
      <c r="H394" s="149"/>
      <c r="I394" s="300"/>
      <c r="J394" s="6"/>
    </row>
    <row r="395" spans="1:10" ht="9.75" customHeight="1">
      <c r="A395" s="550"/>
      <c r="B395" s="551"/>
      <c r="C395" s="549"/>
      <c r="D395" s="548"/>
      <c r="E395" s="150"/>
      <c r="F395" s="150"/>
      <c r="G395" s="150"/>
      <c r="H395" s="150"/>
      <c r="I395" s="301"/>
      <c r="J395" s="6"/>
    </row>
    <row r="396" spans="1:10" ht="17.25" customHeight="1">
      <c r="A396" s="550"/>
      <c r="B396" s="551"/>
      <c r="C396" s="549"/>
      <c r="D396" s="548"/>
      <c r="E396" s="151"/>
      <c r="F396" s="151"/>
      <c r="G396" s="151"/>
      <c r="H396" s="151"/>
      <c r="I396" s="302"/>
      <c r="J396" s="6"/>
    </row>
    <row r="397" spans="1:10" ht="14.25" customHeight="1">
      <c r="A397" s="120"/>
      <c r="B397" s="19">
        <v>411000</v>
      </c>
      <c r="C397" s="21"/>
      <c r="D397" s="32" t="s">
        <v>384</v>
      </c>
      <c r="E397" s="289">
        <f>SUM(E398)</f>
        <v>14000</v>
      </c>
      <c r="F397" s="289">
        <f>SUM(F398)</f>
        <v>15500</v>
      </c>
      <c r="G397" s="289">
        <f>SUM(G398)</f>
        <v>16000</v>
      </c>
      <c r="H397" s="289">
        <f aca="true" t="shared" si="33" ref="H397:H413">IF(E397&gt;0,G397/E397*100,0)</f>
        <v>114.28571428571428</v>
      </c>
      <c r="I397" s="290">
        <f aca="true" t="shared" si="34" ref="I397:I413">G397/$G$534*100</f>
        <v>0.10062893081761005</v>
      </c>
      <c r="J397" s="6"/>
    </row>
    <row r="398" spans="1:10" ht="24.75" customHeight="1">
      <c r="A398" s="120" t="s">
        <v>28</v>
      </c>
      <c r="B398" s="29"/>
      <c r="C398" s="13">
        <v>411200</v>
      </c>
      <c r="D398" s="23" t="s">
        <v>385</v>
      </c>
      <c r="E398" s="170">
        <v>14000</v>
      </c>
      <c r="F398" s="170">
        <v>15500</v>
      </c>
      <c r="G398" s="170">
        <v>16000</v>
      </c>
      <c r="H398" s="341">
        <f t="shared" si="33"/>
        <v>114.28571428571428</v>
      </c>
      <c r="I398" s="257">
        <f t="shared" si="34"/>
        <v>0.10062893081761005</v>
      </c>
      <c r="J398" s="6"/>
    </row>
    <row r="399" spans="1:10" ht="14.25" customHeight="1">
      <c r="A399" s="120"/>
      <c r="B399" s="19">
        <v>412000</v>
      </c>
      <c r="C399" s="13"/>
      <c r="D399" s="32" t="s">
        <v>134</v>
      </c>
      <c r="E399" s="162">
        <f>SUM(E400:E408)</f>
        <v>56000</v>
      </c>
      <c r="F399" s="162">
        <f>SUM(F400:F408)</f>
        <v>58160</v>
      </c>
      <c r="G399" s="162">
        <f>SUM(G400:G408)</f>
        <v>58000</v>
      </c>
      <c r="H399" s="289">
        <f t="shared" si="33"/>
        <v>103.57142857142858</v>
      </c>
      <c r="I399" s="254">
        <f t="shared" si="34"/>
        <v>0.3647798742138365</v>
      </c>
      <c r="J399" s="6"/>
    </row>
    <row r="400" spans="1:10" ht="24.75" customHeight="1">
      <c r="A400" s="120" t="s">
        <v>28</v>
      </c>
      <c r="B400" s="19"/>
      <c r="C400" s="13">
        <v>412200</v>
      </c>
      <c r="D400" s="26" t="s">
        <v>136</v>
      </c>
      <c r="E400" s="170">
        <v>37000</v>
      </c>
      <c r="F400" s="170">
        <v>33464</v>
      </c>
      <c r="G400" s="170">
        <v>37000</v>
      </c>
      <c r="H400" s="341">
        <f t="shared" si="33"/>
        <v>100</v>
      </c>
      <c r="I400" s="257">
        <f t="shared" si="34"/>
        <v>0.23270440251572325</v>
      </c>
      <c r="J400" s="6"/>
    </row>
    <row r="401" spans="1:10" ht="36.75" customHeight="1">
      <c r="A401" s="120" t="s">
        <v>28</v>
      </c>
      <c r="B401" s="19"/>
      <c r="C401" s="13">
        <v>412200</v>
      </c>
      <c r="D401" s="26" t="s">
        <v>525</v>
      </c>
      <c r="E401" s="170">
        <v>0</v>
      </c>
      <c r="F401" s="161">
        <v>6800</v>
      </c>
      <c r="G401" s="161">
        <v>0</v>
      </c>
      <c r="H401" s="341">
        <f t="shared" si="33"/>
        <v>0</v>
      </c>
      <c r="I401" s="257">
        <f t="shared" si="34"/>
        <v>0</v>
      </c>
      <c r="J401" s="6"/>
    </row>
    <row r="402" spans="1:10" ht="12.75">
      <c r="A402" s="120" t="s">
        <v>28</v>
      </c>
      <c r="B402" s="19"/>
      <c r="C402" s="13">
        <v>412300</v>
      </c>
      <c r="D402" s="29" t="s">
        <v>137</v>
      </c>
      <c r="E402" s="170">
        <v>3000</v>
      </c>
      <c r="F402" s="170">
        <v>2916</v>
      </c>
      <c r="G402" s="170">
        <v>3000</v>
      </c>
      <c r="H402" s="341">
        <f t="shared" si="33"/>
        <v>100</v>
      </c>
      <c r="I402" s="257">
        <f t="shared" si="34"/>
        <v>0.018867924528301886</v>
      </c>
      <c r="J402" s="6"/>
    </row>
    <row r="403" spans="1:10" ht="12.75">
      <c r="A403" s="120" t="s">
        <v>28</v>
      </c>
      <c r="B403" s="19"/>
      <c r="C403" s="13">
        <v>412400</v>
      </c>
      <c r="D403" s="26" t="s">
        <v>138</v>
      </c>
      <c r="E403" s="170">
        <v>4000</v>
      </c>
      <c r="F403" s="170">
        <v>3888</v>
      </c>
      <c r="G403" s="170">
        <v>4000</v>
      </c>
      <c r="H403" s="341">
        <f t="shared" si="33"/>
        <v>100</v>
      </c>
      <c r="I403" s="257">
        <f t="shared" si="34"/>
        <v>0.025157232704402514</v>
      </c>
      <c r="J403" s="6"/>
    </row>
    <row r="404" spans="1:10" ht="12.75">
      <c r="A404" s="120" t="s">
        <v>28</v>
      </c>
      <c r="B404" s="19"/>
      <c r="C404" s="13">
        <v>412500</v>
      </c>
      <c r="D404" s="29" t="s">
        <v>139</v>
      </c>
      <c r="E404" s="170">
        <v>4000</v>
      </c>
      <c r="F404" s="170">
        <v>2888</v>
      </c>
      <c r="G404" s="170">
        <v>3500</v>
      </c>
      <c r="H404" s="341">
        <f t="shared" si="33"/>
        <v>87.5</v>
      </c>
      <c r="I404" s="257">
        <f t="shared" si="34"/>
        <v>0.0220125786163522</v>
      </c>
      <c r="J404" s="6"/>
    </row>
    <row r="405" spans="1:10" ht="12.75">
      <c r="A405" s="120" t="s">
        <v>28</v>
      </c>
      <c r="B405" s="19"/>
      <c r="C405" s="13">
        <v>412600</v>
      </c>
      <c r="D405" s="29" t="s">
        <v>140</v>
      </c>
      <c r="E405" s="170">
        <v>2000</v>
      </c>
      <c r="F405" s="170">
        <v>1944</v>
      </c>
      <c r="G405" s="170">
        <v>2000</v>
      </c>
      <c r="H405" s="341">
        <f t="shared" si="33"/>
        <v>100</v>
      </c>
      <c r="I405" s="257">
        <f t="shared" si="34"/>
        <v>0.012578616352201257</v>
      </c>
      <c r="J405" s="6"/>
    </row>
    <row r="406" spans="1:10" ht="12.75">
      <c r="A406" s="120" t="s">
        <v>28</v>
      </c>
      <c r="B406" s="19"/>
      <c r="C406" s="66">
        <v>412700</v>
      </c>
      <c r="D406" s="66" t="s">
        <v>141</v>
      </c>
      <c r="E406" s="170">
        <v>3500</v>
      </c>
      <c r="F406" s="170">
        <v>3500</v>
      </c>
      <c r="G406" s="170">
        <v>3500</v>
      </c>
      <c r="H406" s="341">
        <f t="shared" si="33"/>
        <v>100</v>
      </c>
      <c r="I406" s="257">
        <f t="shared" si="34"/>
        <v>0.0220125786163522</v>
      </c>
      <c r="J406" s="6"/>
    </row>
    <row r="407" spans="1:10" ht="12.75">
      <c r="A407" s="120" t="s">
        <v>28</v>
      </c>
      <c r="B407" s="19"/>
      <c r="C407" s="66">
        <v>412700</v>
      </c>
      <c r="D407" s="29" t="s">
        <v>515</v>
      </c>
      <c r="E407" s="170">
        <v>0</v>
      </c>
      <c r="F407" s="161">
        <v>330</v>
      </c>
      <c r="G407" s="161">
        <v>0</v>
      </c>
      <c r="H407" s="341">
        <f t="shared" si="33"/>
        <v>0</v>
      </c>
      <c r="I407" s="257">
        <f t="shared" si="34"/>
        <v>0</v>
      </c>
      <c r="J407" s="6"/>
    </row>
    <row r="408" spans="1:10" ht="12.75">
      <c r="A408" s="120" t="s">
        <v>28</v>
      </c>
      <c r="B408" s="19"/>
      <c r="C408" s="66">
        <v>412900</v>
      </c>
      <c r="D408" s="66" t="s">
        <v>143</v>
      </c>
      <c r="E408" s="170">
        <v>2500</v>
      </c>
      <c r="F408" s="170">
        <v>2430</v>
      </c>
      <c r="G408" s="170">
        <v>5000</v>
      </c>
      <c r="H408" s="341">
        <f t="shared" si="33"/>
        <v>200</v>
      </c>
      <c r="I408" s="257">
        <f t="shared" si="34"/>
        <v>0.031446540880503145</v>
      </c>
      <c r="J408" s="6"/>
    </row>
    <row r="409" spans="1:10" ht="14.25" customHeight="1">
      <c r="A409" s="120"/>
      <c r="B409" s="19">
        <v>511000</v>
      </c>
      <c r="C409" s="29"/>
      <c r="D409" s="28" t="s">
        <v>152</v>
      </c>
      <c r="E409" s="193">
        <f>SUM(E410:E410)</f>
        <v>2500</v>
      </c>
      <c r="F409" s="193">
        <f>SUM(F410:F410)</f>
        <v>4430</v>
      </c>
      <c r="G409" s="193">
        <f>SUM(G410:G410)</f>
        <v>2500</v>
      </c>
      <c r="H409" s="289">
        <f t="shared" si="33"/>
        <v>100</v>
      </c>
      <c r="I409" s="254">
        <f t="shared" si="34"/>
        <v>0.015723270440251572</v>
      </c>
      <c r="J409" s="6"/>
    </row>
    <row r="410" spans="1:10" ht="12.75">
      <c r="A410" s="120" t="s">
        <v>28</v>
      </c>
      <c r="B410" s="29"/>
      <c r="C410" s="29">
        <v>511300</v>
      </c>
      <c r="D410" s="29" t="s">
        <v>2</v>
      </c>
      <c r="E410" s="170">
        <v>2500</v>
      </c>
      <c r="F410" s="170">
        <v>4430</v>
      </c>
      <c r="G410" s="170">
        <v>2500</v>
      </c>
      <c r="H410" s="341">
        <f t="shared" si="33"/>
        <v>100</v>
      </c>
      <c r="I410" s="257">
        <f t="shared" si="34"/>
        <v>0.015723270440251572</v>
      </c>
      <c r="J410" s="6"/>
    </row>
    <row r="411" spans="1:10" ht="24">
      <c r="A411" s="178"/>
      <c r="B411" s="19">
        <v>516000</v>
      </c>
      <c r="C411" s="29"/>
      <c r="D411" s="28" t="s">
        <v>348</v>
      </c>
      <c r="E411" s="193">
        <f>SUM(E412)</f>
        <v>500</v>
      </c>
      <c r="F411" s="193">
        <f>SUM(F412)</f>
        <v>486</v>
      </c>
      <c r="G411" s="193">
        <f>SUM(G412)</f>
        <v>500</v>
      </c>
      <c r="H411" s="289">
        <f t="shared" si="33"/>
        <v>100</v>
      </c>
      <c r="I411" s="254">
        <f t="shared" si="34"/>
        <v>0.003144654088050314</v>
      </c>
      <c r="J411" s="6"/>
    </row>
    <row r="412" spans="1:10" ht="12.75">
      <c r="A412" s="120" t="s">
        <v>28</v>
      </c>
      <c r="B412" s="29"/>
      <c r="C412" s="29">
        <v>516100</v>
      </c>
      <c r="D412" s="26" t="s">
        <v>329</v>
      </c>
      <c r="E412" s="170">
        <v>500</v>
      </c>
      <c r="F412" s="170">
        <v>486</v>
      </c>
      <c r="G412" s="170">
        <v>500</v>
      </c>
      <c r="H412" s="341">
        <f t="shared" si="33"/>
        <v>100</v>
      </c>
      <c r="I412" s="257">
        <f t="shared" si="34"/>
        <v>0.003144654088050314</v>
      </c>
      <c r="J412" s="6"/>
    </row>
    <row r="413" spans="1:10" ht="24.75" customHeight="1">
      <c r="A413" s="542"/>
      <c r="B413" s="543"/>
      <c r="C413" s="546" t="s">
        <v>89</v>
      </c>
      <c r="D413" s="546"/>
      <c r="E413" s="60">
        <f>E397+E399+E409+E411</f>
        <v>73000</v>
      </c>
      <c r="F413" s="60">
        <f>F397+F399+F409+F411</f>
        <v>78576</v>
      </c>
      <c r="G413" s="60">
        <f>G397+G399+G409+G411</f>
        <v>77000</v>
      </c>
      <c r="H413" s="435">
        <f t="shared" si="33"/>
        <v>105.47945205479452</v>
      </c>
      <c r="I413" s="263">
        <f t="shared" si="34"/>
        <v>0.48427672955974843</v>
      </c>
      <c r="J413" s="6"/>
    </row>
    <row r="414" spans="1:10" ht="9.75" customHeight="1">
      <c r="A414" s="542"/>
      <c r="B414" s="543"/>
      <c r="C414" s="544" t="s">
        <v>267</v>
      </c>
      <c r="D414" s="548"/>
      <c r="E414" s="152"/>
      <c r="F414" s="152"/>
      <c r="G414" s="152"/>
      <c r="H414" s="152"/>
      <c r="I414" s="303"/>
      <c r="J414" s="6"/>
    </row>
    <row r="415" spans="1:10" ht="30" customHeight="1">
      <c r="A415" s="542"/>
      <c r="B415" s="543"/>
      <c r="C415" s="549"/>
      <c r="D415" s="548"/>
      <c r="E415" s="154"/>
      <c r="F415" s="154"/>
      <c r="G415" s="154"/>
      <c r="H415" s="154"/>
      <c r="I415" s="305"/>
      <c r="J415" s="6"/>
    </row>
    <row r="416" spans="1:10" ht="14.25" customHeight="1">
      <c r="A416" s="24"/>
      <c r="B416" s="19">
        <v>411000</v>
      </c>
      <c r="C416" s="21"/>
      <c r="D416" s="32" t="s">
        <v>384</v>
      </c>
      <c r="E416" s="289">
        <f>SUM(E417)</f>
        <v>45000</v>
      </c>
      <c r="F416" s="289">
        <f>SUM(F417)</f>
        <v>45000</v>
      </c>
      <c r="G416" s="289">
        <f>SUM(G417)</f>
        <v>44000</v>
      </c>
      <c r="H416" s="289">
        <f aca="true" t="shared" si="35" ref="H416:H437">IF(E416&gt;0,G416/E416*100,0)</f>
        <v>97.77777777777777</v>
      </c>
      <c r="I416" s="290">
        <f aca="true" t="shared" si="36" ref="I416:I437">G416/$G$534*100</f>
        <v>0.27672955974842767</v>
      </c>
      <c r="J416" s="6"/>
    </row>
    <row r="417" spans="1:10" ht="24" customHeight="1">
      <c r="A417" s="120" t="s">
        <v>53</v>
      </c>
      <c r="B417" s="29"/>
      <c r="C417" s="13">
        <v>411200</v>
      </c>
      <c r="D417" s="23" t="s">
        <v>385</v>
      </c>
      <c r="E417" s="170">
        <v>45000</v>
      </c>
      <c r="F417" s="170">
        <v>45000</v>
      </c>
      <c r="G417" s="170">
        <v>44000</v>
      </c>
      <c r="H417" s="341">
        <f t="shared" si="35"/>
        <v>97.77777777777777</v>
      </c>
      <c r="I417" s="257">
        <f t="shared" si="36"/>
        <v>0.27672955974842767</v>
      </c>
      <c r="J417" s="6"/>
    </row>
    <row r="418" spans="1:10" ht="14.25" customHeight="1">
      <c r="A418" s="24"/>
      <c r="B418" s="19">
        <v>412000</v>
      </c>
      <c r="C418" s="13"/>
      <c r="D418" s="32" t="s">
        <v>134</v>
      </c>
      <c r="E418" s="162">
        <f>SUM(E419:E427)</f>
        <v>55000</v>
      </c>
      <c r="F418" s="162">
        <f>SUM(F419:F427)</f>
        <v>53250</v>
      </c>
      <c r="G418" s="162">
        <f>SUM(G419:G427)</f>
        <v>57000</v>
      </c>
      <c r="H418" s="289">
        <f t="shared" si="35"/>
        <v>103.63636363636364</v>
      </c>
      <c r="I418" s="254">
        <f t="shared" si="36"/>
        <v>0.3584905660377358</v>
      </c>
      <c r="J418" s="6"/>
    </row>
    <row r="419" spans="1:10" ht="24">
      <c r="A419" s="78" t="s">
        <v>53</v>
      </c>
      <c r="B419" s="19"/>
      <c r="C419" s="13">
        <v>412200</v>
      </c>
      <c r="D419" s="26" t="s">
        <v>136</v>
      </c>
      <c r="E419" s="170">
        <v>21000</v>
      </c>
      <c r="F419" s="170">
        <v>21600</v>
      </c>
      <c r="G419" s="170">
        <v>21000</v>
      </c>
      <c r="H419" s="341">
        <f t="shared" si="35"/>
        <v>100</v>
      </c>
      <c r="I419" s="257">
        <f t="shared" si="36"/>
        <v>0.1320754716981132</v>
      </c>
      <c r="J419" s="6"/>
    </row>
    <row r="420" spans="1:10" ht="12.75">
      <c r="A420" s="78" t="s">
        <v>53</v>
      </c>
      <c r="B420" s="19"/>
      <c r="C420" s="13">
        <v>412300</v>
      </c>
      <c r="D420" s="29" t="s">
        <v>137</v>
      </c>
      <c r="E420" s="170">
        <v>3000</v>
      </c>
      <c r="F420" s="170">
        <v>2149</v>
      </c>
      <c r="G420" s="170">
        <v>3000</v>
      </c>
      <c r="H420" s="341">
        <f t="shared" si="35"/>
        <v>100</v>
      </c>
      <c r="I420" s="257">
        <f t="shared" si="36"/>
        <v>0.018867924528301886</v>
      </c>
      <c r="J420" s="6"/>
    </row>
    <row r="421" spans="1:10" ht="12.75">
      <c r="A421" s="78" t="s">
        <v>53</v>
      </c>
      <c r="B421" s="19"/>
      <c r="C421" s="13">
        <v>412400</v>
      </c>
      <c r="D421" s="26" t="s">
        <v>138</v>
      </c>
      <c r="E421" s="170">
        <v>12000</v>
      </c>
      <c r="F421" s="170">
        <v>11400</v>
      </c>
      <c r="G421" s="170">
        <v>12000</v>
      </c>
      <c r="H421" s="341">
        <f t="shared" si="35"/>
        <v>100</v>
      </c>
      <c r="I421" s="257">
        <f t="shared" si="36"/>
        <v>0.07547169811320754</v>
      </c>
      <c r="J421" s="6"/>
    </row>
    <row r="422" spans="1:10" ht="14.25" customHeight="1">
      <c r="A422" s="78" t="s">
        <v>53</v>
      </c>
      <c r="B422" s="19"/>
      <c r="C422" s="13">
        <v>412400</v>
      </c>
      <c r="D422" s="26" t="s">
        <v>547</v>
      </c>
      <c r="E422" s="170">
        <v>0</v>
      </c>
      <c r="F422" s="170">
        <v>1022</v>
      </c>
      <c r="G422" s="170">
        <v>0</v>
      </c>
      <c r="H422" s="341">
        <f t="shared" si="35"/>
        <v>0</v>
      </c>
      <c r="I422" s="257">
        <f t="shared" si="36"/>
        <v>0</v>
      </c>
      <c r="J422" s="6"/>
    </row>
    <row r="423" spans="1:10" ht="12.75">
      <c r="A423" s="78" t="s">
        <v>53</v>
      </c>
      <c r="B423" s="19"/>
      <c r="C423" s="13">
        <v>412500</v>
      </c>
      <c r="D423" s="29" t="s">
        <v>139</v>
      </c>
      <c r="E423" s="170">
        <v>5000</v>
      </c>
      <c r="F423" s="170">
        <v>4220</v>
      </c>
      <c r="G423" s="170">
        <v>5000</v>
      </c>
      <c r="H423" s="341">
        <f t="shared" si="35"/>
        <v>100</v>
      </c>
      <c r="I423" s="257">
        <f t="shared" si="36"/>
        <v>0.031446540880503145</v>
      </c>
      <c r="J423" s="6"/>
    </row>
    <row r="424" spans="1:10" ht="12.75">
      <c r="A424" s="78" t="s">
        <v>53</v>
      </c>
      <c r="B424" s="19"/>
      <c r="C424" s="13">
        <v>412500</v>
      </c>
      <c r="D424" s="29" t="s">
        <v>516</v>
      </c>
      <c r="E424" s="170">
        <v>0</v>
      </c>
      <c r="F424" s="170">
        <v>339</v>
      </c>
      <c r="G424" s="170">
        <v>0</v>
      </c>
      <c r="H424" s="341">
        <f t="shared" si="35"/>
        <v>0</v>
      </c>
      <c r="I424" s="257">
        <f t="shared" si="36"/>
        <v>0</v>
      </c>
      <c r="J424" s="6"/>
    </row>
    <row r="425" spans="1:10" ht="12.75">
      <c r="A425" s="78" t="s">
        <v>53</v>
      </c>
      <c r="B425" s="19"/>
      <c r="C425" s="13">
        <v>412600</v>
      </c>
      <c r="D425" s="29" t="s">
        <v>140</v>
      </c>
      <c r="E425" s="170">
        <v>1500</v>
      </c>
      <c r="F425" s="170">
        <v>1200</v>
      </c>
      <c r="G425" s="170">
        <v>1500</v>
      </c>
      <c r="H425" s="341">
        <f t="shared" si="35"/>
        <v>100</v>
      </c>
      <c r="I425" s="257">
        <f t="shared" si="36"/>
        <v>0.009433962264150943</v>
      </c>
      <c r="J425" s="6"/>
    </row>
    <row r="426" spans="1:10" ht="12.75">
      <c r="A426" s="78" t="s">
        <v>53</v>
      </c>
      <c r="B426" s="19"/>
      <c r="C426" s="66">
        <v>412700</v>
      </c>
      <c r="D426" s="66" t="s">
        <v>141</v>
      </c>
      <c r="E426" s="161">
        <v>9000</v>
      </c>
      <c r="F426" s="161">
        <v>9000</v>
      </c>
      <c r="G426" s="161">
        <v>9000</v>
      </c>
      <c r="H426" s="341">
        <f t="shared" si="35"/>
        <v>100</v>
      </c>
      <c r="I426" s="257">
        <f t="shared" si="36"/>
        <v>0.05660377358490566</v>
      </c>
      <c r="J426" s="6"/>
    </row>
    <row r="427" spans="1:10" ht="12.75">
      <c r="A427" s="78" t="s">
        <v>53</v>
      </c>
      <c r="B427" s="19"/>
      <c r="C427" s="66">
        <v>412900</v>
      </c>
      <c r="D427" s="66" t="s">
        <v>143</v>
      </c>
      <c r="E427" s="170">
        <v>3500</v>
      </c>
      <c r="F427" s="170">
        <v>2320</v>
      </c>
      <c r="G427" s="170">
        <v>5500</v>
      </c>
      <c r="H427" s="341">
        <f t="shared" si="35"/>
        <v>157.14285714285714</v>
      </c>
      <c r="I427" s="257">
        <f t="shared" si="36"/>
        <v>0.03459119496855346</v>
      </c>
      <c r="J427" s="6"/>
    </row>
    <row r="428" spans="1:10" ht="12.75" hidden="1">
      <c r="A428" s="78"/>
      <c r="B428" s="19">
        <v>419100</v>
      </c>
      <c r="C428" s="66"/>
      <c r="D428" s="31" t="s">
        <v>413</v>
      </c>
      <c r="E428" s="266">
        <f>E429</f>
        <v>0</v>
      </c>
      <c r="F428" s="266">
        <f>F429</f>
        <v>0</v>
      </c>
      <c r="G428" s="266">
        <f>G429</f>
        <v>0</v>
      </c>
      <c r="H428" s="289">
        <f t="shared" si="35"/>
        <v>0</v>
      </c>
      <c r="I428" s="267">
        <f t="shared" si="36"/>
        <v>0</v>
      </c>
      <c r="J428" s="6"/>
    </row>
    <row r="429" spans="1:10" ht="12.75" hidden="1">
      <c r="A429" s="78" t="s">
        <v>53</v>
      </c>
      <c r="B429" s="19"/>
      <c r="C429" s="66">
        <v>419100</v>
      </c>
      <c r="D429" s="29" t="s">
        <v>413</v>
      </c>
      <c r="E429" s="170">
        <v>0</v>
      </c>
      <c r="F429" s="170">
        <v>0</v>
      </c>
      <c r="G429" s="170">
        <v>0</v>
      </c>
      <c r="H429" s="341">
        <f t="shared" si="35"/>
        <v>0</v>
      </c>
      <c r="I429" s="257">
        <f t="shared" si="36"/>
        <v>0</v>
      </c>
      <c r="J429" s="6"/>
    </row>
    <row r="430" spans="1:10" ht="14.25" customHeight="1">
      <c r="A430" s="120"/>
      <c r="B430" s="19">
        <v>511000</v>
      </c>
      <c r="C430" s="13"/>
      <c r="D430" s="28" t="s">
        <v>152</v>
      </c>
      <c r="E430" s="162">
        <f>SUM(E432:E434)</f>
        <v>3000</v>
      </c>
      <c r="F430" s="162">
        <f>SUM(F432:F434)</f>
        <v>6426</v>
      </c>
      <c r="G430" s="162">
        <f>SUM(G432:G434)</f>
        <v>3000</v>
      </c>
      <c r="H430" s="289">
        <f t="shared" si="35"/>
        <v>100</v>
      </c>
      <c r="I430" s="254">
        <f t="shared" si="36"/>
        <v>0.018867924528301886</v>
      </c>
      <c r="J430" s="6"/>
    </row>
    <row r="431" spans="1:10" ht="26.25" customHeight="1" hidden="1">
      <c r="A431" s="120" t="s">
        <v>53</v>
      </c>
      <c r="B431" s="19"/>
      <c r="C431" s="13">
        <v>511200</v>
      </c>
      <c r="D431" s="26" t="s">
        <v>163</v>
      </c>
      <c r="E431" s="170"/>
      <c r="F431" s="170"/>
      <c r="G431" s="170"/>
      <c r="H431" s="289">
        <f t="shared" si="35"/>
        <v>0</v>
      </c>
      <c r="I431" s="254">
        <f t="shared" si="36"/>
        <v>0</v>
      </c>
      <c r="J431" s="6"/>
    </row>
    <row r="432" spans="1:10" ht="15.75" customHeight="1">
      <c r="A432" s="120" t="s">
        <v>53</v>
      </c>
      <c r="B432" s="29"/>
      <c r="C432" s="13">
        <v>511300</v>
      </c>
      <c r="D432" s="29" t="s">
        <v>2</v>
      </c>
      <c r="E432" s="170">
        <v>3000</v>
      </c>
      <c r="F432" s="170">
        <v>3750</v>
      </c>
      <c r="G432" s="170">
        <v>3000</v>
      </c>
      <c r="H432" s="341">
        <f t="shared" si="35"/>
        <v>100</v>
      </c>
      <c r="I432" s="257">
        <f t="shared" si="36"/>
        <v>0.018867924528301886</v>
      </c>
      <c r="J432" s="6"/>
    </row>
    <row r="433" spans="1:10" ht="24.75" customHeight="1" hidden="1">
      <c r="A433" s="120" t="s">
        <v>53</v>
      </c>
      <c r="B433" s="29"/>
      <c r="C433" s="13">
        <v>511300</v>
      </c>
      <c r="D433" s="26" t="s">
        <v>453</v>
      </c>
      <c r="E433" s="170"/>
      <c r="F433" s="170"/>
      <c r="G433" s="170"/>
      <c r="H433" s="341">
        <f t="shared" si="35"/>
        <v>0</v>
      </c>
      <c r="I433" s="257">
        <f t="shared" si="36"/>
        <v>0</v>
      </c>
      <c r="J433" s="6"/>
    </row>
    <row r="434" spans="1:10" ht="14.25" customHeight="1">
      <c r="A434" s="120" t="s">
        <v>53</v>
      </c>
      <c r="B434" s="29"/>
      <c r="C434" s="13">
        <v>511300</v>
      </c>
      <c r="D434" s="29" t="s">
        <v>412</v>
      </c>
      <c r="E434" s="170">
        <v>0</v>
      </c>
      <c r="F434" s="170">
        <v>2676</v>
      </c>
      <c r="G434" s="170">
        <v>0</v>
      </c>
      <c r="H434" s="341">
        <f t="shared" si="35"/>
        <v>0</v>
      </c>
      <c r="I434" s="257">
        <f t="shared" si="36"/>
        <v>0</v>
      </c>
      <c r="J434" s="6"/>
    </row>
    <row r="435" spans="1:10" ht="22.5" customHeight="1">
      <c r="A435" s="120"/>
      <c r="B435" s="19">
        <v>516000</v>
      </c>
      <c r="C435" s="13"/>
      <c r="D435" s="28" t="s">
        <v>348</v>
      </c>
      <c r="E435" s="162">
        <f>SUM(E436)</f>
        <v>0</v>
      </c>
      <c r="F435" s="162">
        <f>SUM(F436)</f>
        <v>228</v>
      </c>
      <c r="G435" s="162">
        <f>SUM(G436)</f>
        <v>500</v>
      </c>
      <c r="H435" s="289">
        <f t="shared" si="35"/>
        <v>0</v>
      </c>
      <c r="I435" s="254">
        <f t="shared" si="36"/>
        <v>0.003144654088050314</v>
      </c>
      <c r="J435" s="6"/>
    </row>
    <row r="436" spans="1:10" ht="16.5" customHeight="1">
      <c r="A436" s="120" t="s">
        <v>53</v>
      </c>
      <c r="B436" s="29"/>
      <c r="C436" s="13">
        <v>516100</v>
      </c>
      <c r="D436" s="26" t="s">
        <v>329</v>
      </c>
      <c r="E436" s="170">
        <v>0</v>
      </c>
      <c r="F436" s="170">
        <v>228</v>
      </c>
      <c r="G436" s="170">
        <v>500</v>
      </c>
      <c r="H436" s="341">
        <f t="shared" si="35"/>
        <v>0</v>
      </c>
      <c r="I436" s="257">
        <f t="shared" si="36"/>
        <v>0.003144654088050314</v>
      </c>
      <c r="J436" s="6"/>
    </row>
    <row r="437" spans="1:10" ht="30" customHeight="1">
      <c r="A437" s="542"/>
      <c r="B437" s="543"/>
      <c r="C437" s="546" t="s">
        <v>90</v>
      </c>
      <c r="D437" s="547"/>
      <c r="E437" s="60">
        <f>E416+E418+E430+E428+E435</f>
        <v>103000</v>
      </c>
      <c r="F437" s="60">
        <f>F416+F418+F430+F428+F435</f>
        <v>104904</v>
      </c>
      <c r="G437" s="60">
        <f>G416+G418+G430+G428+G435</f>
        <v>104500</v>
      </c>
      <c r="H437" s="435">
        <f t="shared" si="35"/>
        <v>101.45631067961165</v>
      </c>
      <c r="I437" s="263">
        <f t="shared" si="36"/>
        <v>0.6572327044025157</v>
      </c>
      <c r="J437" s="6"/>
    </row>
    <row r="438" spans="1:10" ht="9.75" customHeight="1">
      <c r="A438" s="589"/>
      <c r="B438" s="590"/>
      <c r="C438" s="556" t="s">
        <v>345</v>
      </c>
      <c r="D438" s="557"/>
      <c r="E438" s="153"/>
      <c r="F438" s="153"/>
      <c r="G438" s="153"/>
      <c r="H438" s="153"/>
      <c r="I438" s="304"/>
      <c r="J438" s="6"/>
    </row>
    <row r="439" spans="1:10" ht="30" customHeight="1">
      <c r="A439" s="542"/>
      <c r="B439" s="543"/>
      <c r="C439" s="549"/>
      <c r="D439" s="548"/>
      <c r="E439" s="154"/>
      <c r="F439" s="154"/>
      <c r="G439" s="154"/>
      <c r="H439" s="154"/>
      <c r="I439" s="305"/>
      <c r="J439" s="6"/>
    </row>
    <row r="440" spans="1:10" ht="14.25" customHeight="1">
      <c r="A440" s="120"/>
      <c r="B440" s="19">
        <v>411000</v>
      </c>
      <c r="C440" s="29"/>
      <c r="D440" s="22" t="s">
        <v>384</v>
      </c>
      <c r="E440" s="287">
        <f>SUM(E441:E444)</f>
        <v>127000</v>
      </c>
      <c r="F440" s="287">
        <f>SUM(F441:F444)</f>
        <v>129800</v>
      </c>
      <c r="G440" s="287">
        <f>SUM(G441:G444)</f>
        <v>131000</v>
      </c>
      <c r="H440" s="289">
        <f aca="true" t="shared" si="37" ref="H440:H462">IF(E440&gt;0,G440/E440*100,0)</f>
        <v>103.14960629921259</v>
      </c>
      <c r="I440" s="290">
        <f aca="true" t="shared" si="38" ref="I440:I462">G440/$G$534*100</f>
        <v>0.8238993710691823</v>
      </c>
      <c r="J440" s="6"/>
    </row>
    <row r="441" spans="1:10" ht="12.75">
      <c r="A441" s="120" t="s">
        <v>32</v>
      </c>
      <c r="B441" s="29"/>
      <c r="C441" s="13">
        <v>411100</v>
      </c>
      <c r="D441" s="23" t="s">
        <v>380</v>
      </c>
      <c r="E441" s="170">
        <v>99000</v>
      </c>
      <c r="F441" s="170">
        <v>99000</v>
      </c>
      <c r="G441" s="170">
        <v>105000</v>
      </c>
      <c r="H441" s="341">
        <f t="shared" si="37"/>
        <v>106.06060606060606</v>
      </c>
      <c r="I441" s="257">
        <f t="shared" si="38"/>
        <v>0.6603773584905661</v>
      </c>
      <c r="J441" s="6"/>
    </row>
    <row r="442" spans="1:10" ht="24">
      <c r="A442" s="120" t="s">
        <v>32</v>
      </c>
      <c r="B442" s="29"/>
      <c r="C442" s="13">
        <v>411200</v>
      </c>
      <c r="D442" s="23" t="s">
        <v>385</v>
      </c>
      <c r="E442" s="170">
        <v>26000</v>
      </c>
      <c r="F442" s="170">
        <v>26000</v>
      </c>
      <c r="G442" s="170">
        <v>24000</v>
      </c>
      <c r="H442" s="341">
        <f t="shared" si="37"/>
        <v>92.3076923076923</v>
      </c>
      <c r="I442" s="257">
        <f t="shared" si="38"/>
        <v>0.1509433962264151</v>
      </c>
      <c r="J442" s="6"/>
    </row>
    <row r="443" spans="1:10" ht="25.5" customHeight="1">
      <c r="A443" s="120" t="s">
        <v>32</v>
      </c>
      <c r="B443" s="29"/>
      <c r="C443" s="13">
        <v>411300</v>
      </c>
      <c r="D443" s="23" t="s">
        <v>494</v>
      </c>
      <c r="E443" s="170">
        <v>1000</v>
      </c>
      <c r="F443" s="170">
        <v>0</v>
      </c>
      <c r="G443" s="170">
        <v>1000</v>
      </c>
      <c r="H443" s="341">
        <f t="shared" si="37"/>
        <v>100</v>
      </c>
      <c r="I443" s="257">
        <f t="shared" si="38"/>
        <v>0.006289308176100628</v>
      </c>
      <c r="J443" s="6"/>
    </row>
    <row r="444" spans="1:10" ht="12.75">
      <c r="A444" s="120" t="s">
        <v>32</v>
      </c>
      <c r="B444" s="29"/>
      <c r="C444" s="13">
        <v>411400</v>
      </c>
      <c r="D444" s="25" t="s">
        <v>381</v>
      </c>
      <c r="E444" s="170">
        <v>1000</v>
      </c>
      <c r="F444" s="170">
        <v>4800</v>
      </c>
      <c r="G444" s="170">
        <v>1000</v>
      </c>
      <c r="H444" s="341">
        <f t="shared" si="37"/>
        <v>100</v>
      </c>
      <c r="I444" s="257">
        <f t="shared" si="38"/>
        <v>0.006289308176100628</v>
      </c>
      <c r="J444" s="6"/>
    </row>
    <row r="445" spans="1:10" ht="14.25" customHeight="1">
      <c r="A445" s="120"/>
      <c r="B445" s="19">
        <v>412000</v>
      </c>
      <c r="C445" s="13"/>
      <c r="D445" s="28" t="s">
        <v>134</v>
      </c>
      <c r="E445" s="162">
        <f>SUM(E446:E454)</f>
        <v>47500</v>
      </c>
      <c r="F445" s="162">
        <f>SUM(F446:F454)</f>
        <v>61500</v>
      </c>
      <c r="G445" s="162">
        <f>SUM(G446:G454)</f>
        <v>46500</v>
      </c>
      <c r="H445" s="289">
        <f t="shared" si="37"/>
        <v>97.89473684210527</v>
      </c>
      <c r="I445" s="254">
        <f t="shared" si="38"/>
        <v>0.29245283018867924</v>
      </c>
      <c r="J445" s="6"/>
    </row>
    <row r="446" spans="1:10" ht="14.25" customHeight="1">
      <c r="A446" s="120" t="s">
        <v>32</v>
      </c>
      <c r="B446" s="19"/>
      <c r="C446" s="13">
        <v>412100</v>
      </c>
      <c r="D446" s="45" t="s">
        <v>509</v>
      </c>
      <c r="E446" s="161">
        <v>6000</v>
      </c>
      <c r="F446" s="161">
        <v>6600</v>
      </c>
      <c r="G446" s="161">
        <v>6000</v>
      </c>
      <c r="H446" s="341">
        <f t="shared" si="37"/>
        <v>100</v>
      </c>
      <c r="I446" s="257">
        <f t="shared" si="38"/>
        <v>0.03773584905660377</v>
      </c>
      <c r="J446" s="6"/>
    </row>
    <row r="447" spans="1:10" ht="24">
      <c r="A447" s="120" t="s">
        <v>32</v>
      </c>
      <c r="B447" s="19"/>
      <c r="C447" s="13">
        <v>412200</v>
      </c>
      <c r="D447" s="26" t="s">
        <v>136</v>
      </c>
      <c r="E447" s="170">
        <v>15000</v>
      </c>
      <c r="F447" s="170">
        <v>14500</v>
      </c>
      <c r="G447" s="170">
        <v>15000</v>
      </c>
      <c r="H447" s="341">
        <f t="shared" si="37"/>
        <v>100</v>
      </c>
      <c r="I447" s="257">
        <f t="shared" si="38"/>
        <v>0.09433962264150944</v>
      </c>
      <c r="J447" s="6"/>
    </row>
    <row r="448" spans="1:10" ht="12.75">
      <c r="A448" s="120" t="s">
        <v>32</v>
      </c>
      <c r="B448" s="19"/>
      <c r="C448" s="13">
        <v>412300</v>
      </c>
      <c r="D448" s="29" t="s">
        <v>137</v>
      </c>
      <c r="E448" s="170">
        <v>1000</v>
      </c>
      <c r="F448" s="170">
        <v>1000</v>
      </c>
      <c r="G448" s="170">
        <v>1000</v>
      </c>
      <c r="H448" s="341">
        <f t="shared" si="37"/>
        <v>100</v>
      </c>
      <c r="I448" s="257">
        <f t="shared" si="38"/>
        <v>0.006289308176100628</v>
      </c>
      <c r="J448" s="6"/>
    </row>
    <row r="449" spans="1:10" ht="12.75">
      <c r="A449" s="120" t="s">
        <v>32</v>
      </c>
      <c r="B449" s="19"/>
      <c r="C449" s="13">
        <v>412500</v>
      </c>
      <c r="D449" s="29" t="s">
        <v>139</v>
      </c>
      <c r="E449" s="170">
        <v>1000</v>
      </c>
      <c r="F449" s="170">
        <v>1000</v>
      </c>
      <c r="G449" s="170">
        <v>1000</v>
      </c>
      <c r="H449" s="341">
        <f t="shared" si="37"/>
        <v>100</v>
      </c>
      <c r="I449" s="257">
        <f t="shared" si="38"/>
        <v>0.006289308176100628</v>
      </c>
      <c r="J449" s="6"/>
    </row>
    <row r="450" spans="1:10" ht="12.75">
      <c r="A450" s="120" t="s">
        <v>32</v>
      </c>
      <c r="B450" s="19"/>
      <c r="C450" s="13">
        <v>412600</v>
      </c>
      <c r="D450" s="29" t="s">
        <v>140</v>
      </c>
      <c r="E450" s="170">
        <v>500</v>
      </c>
      <c r="F450" s="170">
        <v>200</v>
      </c>
      <c r="G450" s="170">
        <v>500</v>
      </c>
      <c r="H450" s="341">
        <f t="shared" si="37"/>
        <v>100</v>
      </c>
      <c r="I450" s="257">
        <f t="shared" si="38"/>
        <v>0.003144654088050314</v>
      </c>
      <c r="J450" s="6"/>
    </row>
    <row r="451" spans="1:10" ht="12.75" customHeight="1">
      <c r="A451" s="120" t="s">
        <v>32</v>
      </c>
      <c r="B451" s="19"/>
      <c r="C451" s="66">
        <v>412700</v>
      </c>
      <c r="D451" s="66" t="s">
        <v>184</v>
      </c>
      <c r="E451" s="170">
        <v>9000</v>
      </c>
      <c r="F451" s="170">
        <v>13000</v>
      </c>
      <c r="G451" s="170">
        <v>9000</v>
      </c>
      <c r="H451" s="341">
        <f t="shared" si="37"/>
        <v>100</v>
      </c>
      <c r="I451" s="257">
        <f t="shared" si="38"/>
        <v>0.05660377358490566</v>
      </c>
      <c r="J451" s="6"/>
    </row>
    <row r="452" spans="1:10" ht="15" customHeight="1" hidden="1">
      <c r="A452" s="120" t="s">
        <v>32</v>
      </c>
      <c r="B452" s="19"/>
      <c r="C452" s="66">
        <v>412700</v>
      </c>
      <c r="D452" s="26" t="s">
        <v>321</v>
      </c>
      <c r="E452" s="161"/>
      <c r="F452" s="161"/>
      <c r="G452" s="161"/>
      <c r="H452" s="341">
        <f t="shared" si="37"/>
        <v>0</v>
      </c>
      <c r="I452" s="257">
        <f t="shared" si="38"/>
        <v>0</v>
      </c>
      <c r="J452" s="6"/>
    </row>
    <row r="453" spans="1:10" ht="14.25" customHeight="1">
      <c r="A453" s="120" t="s">
        <v>32</v>
      </c>
      <c r="B453" s="19"/>
      <c r="C453" s="66">
        <v>412700</v>
      </c>
      <c r="D453" s="81" t="s">
        <v>188</v>
      </c>
      <c r="E453" s="161">
        <v>10000</v>
      </c>
      <c r="F453" s="161">
        <v>20000</v>
      </c>
      <c r="G453" s="161">
        <v>10000</v>
      </c>
      <c r="H453" s="341">
        <f t="shared" si="37"/>
        <v>100</v>
      </c>
      <c r="I453" s="257">
        <f t="shared" si="38"/>
        <v>0.06289308176100629</v>
      </c>
      <c r="J453" s="6"/>
    </row>
    <row r="454" spans="1:10" ht="12.75">
      <c r="A454" s="120" t="s">
        <v>32</v>
      </c>
      <c r="B454" s="19"/>
      <c r="C454" s="66">
        <v>412900</v>
      </c>
      <c r="D454" s="81" t="s">
        <v>143</v>
      </c>
      <c r="E454" s="170">
        <v>5000</v>
      </c>
      <c r="F454" s="170">
        <v>5200</v>
      </c>
      <c r="G454" s="170">
        <v>4000</v>
      </c>
      <c r="H454" s="341">
        <f t="shared" si="37"/>
        <v>80</v>
      </c>
      <c r="I454" s="257">
        <f t="shared" si="38"/>
        <v>0.025157232704402514</v>
      </c>
      <c r="J454" s="6"/>
    </row>
    <row r="455" spans="1:10" ht="14.25" customHeight="1">
      <c r="A455" s="120"/>
      <c r="B455" s="19">
        <v>511000</v>
      </c>
      <c r="C455" s="29"/>
      <c r="D455" s="28" t="s">
        <v>152</v>
      </c>
      <c r="E455" s="162">
        <f>SUM(E456:E457)</f>
        <v>5000</v>
      </c>
      <c r="F455" s="162">
        <f>SUM(F456:F457)</f>
        <v>4050</v>
      </c>
      <c r="G455" s="162">
        <f>SUM(G456:G457)</f>
        <v>4000</v>
      </c>
      <c r="H455" s="289">
        <f t="shared" si="37"/>
        <v>80</v>
      </c>
      <c r="I455" s="254">
        <f t="shared" si="38"/>
        <v>0.025157232704402514</v>
      </c>
      <c r="J455" s="6"/>
    </row>
    <row r="456" spans="1:10" ht="24">
      <c r="A456" s="120" t="s">
        <v>32</v>
      </c>
      <c r="B456" s="29"/>
      <c r="C456" s="13">
        <v>511200</v>
      </c>
      <c r="D456" s="26" t="s">
        <v>163</v>
      </c>
      <c r="E456" s="161">
        <v>1000</v>
      </c>
      <c r="F456" s="161">
        <v>550</v>
      </c>
      <c r="G456" s="161">
        <v>0</v>
      </c>
      <c r="H456" s="341">
        <f t="shared" si="37"/>
        <v>0</v>
      </c>
      <c r="I456" s="257">
        <f t="shared" si="38"/>
        <v>0</v>
      </c>
      <c r="J456" s="6"/>
    </row>
    <row r="457" spans="1:10" ht="16.5" customHeight="1">
      <c r="A457" s="120" t="s">
        <v>32</v>
      </c>
      <c r="B457" s="29"/>
      <c r="C457" s="13">
        <v>511300</v>
      </c>
      <c r="D457" s="26" t="s">
        <v>2</v>
      </c>
      <c r="E457" s="161">
        <v>4000</v>
      </c>
      <c r="F457" s="161">
        <v>3500</v>
      </c>
      <c r="G457" s="161">
        <v>4000</v>
      </c>
      <c r="H457" s="341">
        <f t="shared" si="37"/>
        <v>100</v>
      </c>
      <c r="I457" s="257">
        <f t="shared" si="38"/>
        <v>0.025157232704402514</v>
      </c>
      <c r="J457" s="6"/>
    </row>
    <row r="458" spans="1:10" ht="24">
      <c r="A458" s="120"/>
      <c r="B458" s="19">
        <v>516000</v>
      </c>
      <c r="C458" s="29"/>
      <c r="D458" s="50" t="s">
        <v>348</v>
      </c>
      <c r="E458" s="162">
        <f>SUM(E459:E459)</f>
        <v>4500</v>
      </c>
      <c r="F458" s="162">
        <f>SUM(F459:F459)</f>
        <v>4000</v>
      </c>
      <c r="G458" s="162">
        <f>SUM(G459:G459)</f>
        <v>4500</v>
      </c>
      <c r="H458" s="289">
        <f t="shared" si="37"/>
        <v>100</v>
      </c>
      <c r="I458" s="254">
        <f t="shared" si="38"/>
        <v>0.02830188679245283</v>
      </c>
      <c r="J458" s="6"/>
    </row>
    <row r="459" spans="1:10" ht="17.25" customHeight="1">
      <c r="A459" s="120" t="s">
        <v>32</v>
      </c>
      <c r="B459" s="19"/>
      <c r="C459" s="29">
        <v>516100</v>
      </c>
      <c r="D459" s="26" t="s">
        <v>181</v>
      </c>
      <c r="E459" s="181">
        <v>4500</v>
      </c>
      <c r="F459" s="181">
        <v>4000</v>
      </c>
      <c r="G459" s="181">
        <v>4500</v>
      </c>
      <c r="H459" s="341">
        <f t="shared" si="37"/>
        <v>100</v>
      </c>
      <c r="I459" s="257">
        <f t="shared" si="38"/>
        <v>0.02830188679245283</v>
      </c>
      <c r="J459" s="6"/>
    </row>
    <row r="460" spans="1:10" ht="24">
      <c r="A460" s="120"/>
      <c r="B460" s="19">
        <v>638000</v>
      </c>
      <c r="C460" s="13"/>
      <c r="D460" s="28" t="s">
        <v>382</v>
      </c>
      <c r="E460" s="56">
        <f>SUM(E461)</f>
        <v>1000</v>
      </c>
      <c r="F460" s="56">
        <f>SUM(F461)</f>
        <v>0</v>
      </c>
      <c r="G460" s="56">
        <f>SUM(G461)</f>
        <v>1000</v>
      </c>
      <c r="H460" s="289">
        <f t="shared" si="37"/>
        <v>100</v>
      </c>
      <c r="I460" s="254">
        <f t="shared" si="38"/>
        <v>0.006289308176100628</v>
      </c>
      <c r="J460" s="6"/>
    </row>
    <row r="461" spans="1:10" ht="36">
      <c r="A461" s="120"/>
      <c r="B461" s="29"/>
      <c r="C461" s="13">
        <v>638100</v>
      </c>
      <c r="D461" s="26" t="s">
        <v>383</v>
      </c>
      <c r="E461" s="170">
        <v>1000</v>
      </c>
      <c r="F461" s="170">
        <v>0</v>
      </c>
      <c r="G461" s="170">
        <v>1000</v>
      </c>
      <c r="H461" s="341">
        <f t="shared" si="37"/>
        <v>100</v>
      </c>
      <c r="I461" s="257">
        <f t="shared" si="38"/>
        <v>0.006289308176100628</v>
      </c>
      <c r="J461" s="6"/>
    </row>
    <row r="462" spans="1:10" ht="24.75" customHeight="1">
      <c r="A462" s="550"/>
      <c r="B462" s="551"/>
      <c r="C462" s="546" t="s">
        <v>91</v>
      </c>
      <c r="D462" s="547"/>
      <c r="E462" s="60">
        <f>E440+E445+E455+E458+E460</f>
        <v>185000</v>
      </c>
      <c r="F462" s="60">
        <f>F440+F445+F455+F458+F460</f>
        <v>199350</v>
      </c>
      <c r="G462" s="60">
        <f>G440+G445+G455+G458+G460</f>
        <v>187000</v>
      </c>
      <c r="H462" s="435">
        <f t="shared" si="37"/>
        <v>101.08108108108107</v>
      </c>
      <c r="I462" s="263">
        <f t="shared" si="38"/>
        <v>1.1761006289308176</v>
      </c>
      <c r="J462" s="6"/>
    </row>
    <row r="463" spans="1:10" ht="39.75" customHeight="1">
      <c r="A463" s="550"/>
      <c r="B463" s="551"/>
      <c r="C463" s="581" t="s">
        <v>309</v>
      </c>
      <c r="D463" s="582"/>
      <c r="E463" s="155"/>
      <c r="F463" s="155"/>
      <c r="G463" s="155"/>
      <c r="H463" s="155"/>
      <c r="I463" s="255"/>
      <c r="J463" s="6"/>
    </row>
    <row r="464" spans="1:10" ht="14.25" customHeight="1">
      <c r="A464" s="120"/>
      <c r="B464" s="19">
        <v>412000</v>
      </c>
      <c r="C464" s="87"/>
      <c r="D464" s="28" t="s">
        <v>134</v>
      </c>
      <c r="E464" s="162">
        <f>SUM(E465:E469)</f>
        <v>9300</v>
      </c>
      <c r="F464" s="162">
        <f>SUM(F465:F469)</f>
        <v>9244</v>
      </c>
      <c r="G464" s="162">
        <f>SUM(G465:G469)</f>
        <v>9700</v>
      </c>
      <c r="H464" s="162">
        <f aca="true" t="shared" si="39" ref="H464:H472">IF(E464&gt;0,G464/E464*100,0)</f>
        <v>104.3010752688172</v>
      </c>
      <c r="I464" s="254">
        <f aca="true" t="shared" si="40" ref="I464:I472">G464/$G$534*100</f>
        <v>0.061006289308176094</v>
      </c>
      <c r="J464" s="6"/>
    </row>
    <row r="465" spans="1:10" ht="24" customHeight="1">
      <c r="A465" s="120" t="s">
        <v>32</v>
      </c>
      <c r="B465" s="29"/>
      <c r="C465" s="135">
        <v>412200</v>
      </c>
      <c r="D465" s="26" t="s">
        <v>136</v>
      </c>
      <c r="E465" s="161">
        <v>3000</v>
      </c>
      <c r="F465" s="161">
        <v>2885</v>
      </c>
      <c r="G465" s="161">
        <v>3100</v>
      </c>
      <c r="H465" s="181">
        <f t="shared" si="39"/>
        <v>103.33333333333334</v>
      </c>
      <c r="I465" s="257">
        <f t="shared" si="40"/>
        <v>0.01949685534591195</v>
      </c>
      <c r="J465" s="6"/>
    </row>
    <row r="466" spans="1:10" ht="12.75">
      <c r="A466" s="120" t="s">
        <v>32</v>
      </c>
      <c r="B466" s="29"/>
      <c r="C466" s="135">
        <v>412300</v>
      </c>
      <c r="D466" s="29" t="s">
        <v>137</v>
      </c>
      <c r="E466" s="170">
        <v>1700</v>
      </c>
      <c r="F466" s="170">
        <v>1474</v>
      </c>
      <c r="G466" s="170">
        <v>2000</v>
      </c>
      <c r="H466" s="181">
        <f t="shared" si="39"/>
        <v>117.64705882352942</v>
      </c>
      <c r="I466" s="257">
        <f t="shared" si="40"/>
        <v>0.012578616352201257</v>
      </c>
      <c r="J466" s="6"/>
    </row>
    <row r="467" spans="1:10" ht="12.75">
      <c r="A467" s="120" t="s">
        <v>32</v>
      </c>
      <c r="B467" s="29"/>
      <c r="C467" s="135">
        <v>412500</v>
      </c>
      <c r="D467" s="29" t="s">
        <v>139</v>
      </c>
      <c r="E467" s="170">
        <v>1600</v>
      </c>
      <c r="F467" s="170">
        <v>2375</v>
      </c>
      <c r="G467" s="170">
        <v>1600</v>
      </c>
      <c r="H467" s="181">
        <f t="shared" si="39"/>
        <v>100</v>
      </c>
      <c r="I467" s="257">
        <f t="shared" si="40"/>
        <v>0.010062893081761008</v>
      </c>
      <c r="J467" s="6"/>
    </row>
    <row r="468" spans="1:10" ht="12.75">
      <c r="A468" s="120" t="s">
        <v>32</v>
      </c>
      <c r="B468" s="29"/>
      <c r="C468" s="135">
        <v>412700</v>
      </c>
      <c r="D468" s="66" t="s">
        <v>141</v>
      </c>
      <c r="E468" s="161">
        <v>2000</v>
      </c>
      <c r="F468" s="161">
        <v>1960</v>
      </c>
      <c r="G468" s="161">
        <v>2000</v>
      </c>
      <c r="H468" s="181">
        <f t="shared" si="39"/>
        <v>100</v>
      </c>
      <c r="I468" s="257">
        <f t="shared" si="40"/>
        <v>0.012578616352201257</v>
      </c>
      <c r="J468" s="6"/>
    </row>
    <row r="469" spans="1:10" ht="12.75">
      <c r="A469" s="120" t="s">
        <v>32</v>
      </c>
      <c r="B469" s="29"/>
      <c r="C469" s="135">
        <v>412900</v>
      </c>
      <c r="D469" s="66" t="s">
        <v>143</v>
      </c>
      <c r="E469" s="161">
        <v>1000</v>
      </c>
      <c r="F469" s="161">
        <v>550</v>
      </c>
      <c r="G469" s="161">
        <v>1000</v>
      </c>
      <c r="H469" s="181">
        <f t="shared" si="39"/>
        <v>100</v>
      </c>
      <c r="I469" s="257">
        <f t="shared" si="40"/>
        <v>0.006289308176100628</v>
      </c>
      <c r="J469" s="6"/>
    </row>
    <row r="470" spans="1:10" ht="12.75">
      <c r="A470" s="120"/>
      <c r="B470" s="19">
        <v>511000</v>
      </c>
      <c r="C470" s="88"/>
      <c r="D470" s="28" t="s">
        <v>152</v>
      </c>
      <c r="E470" s="162">
        <f>SUM(E471)</f>
        <v>1000</v>
      </c>
      <c r="F470" s="162">
        <f>SUM(F471)</f>
        <v>880</v>
      </c>
      <c r="G470" s="162">
        <f>SUM(G471)</f>
        <v>2000</v>
      </c>
      <c r="H470" s="162">
        <f t="shared" si="39"/>
        <v>200</v>
      </c>
      <c r="I470" s="254">
        <f t="shared" si="40"/>
        <v>0.012578616352201257</v>
      </c>
      <c r="J470" s="6"/>
    </row>
    <row r="471" spans="1:10" ht="12.75">
      <c r="A471" s="120" t="s">
        <v>32</v>
      </c>
      <c r="B471" s="29"/>
      <c r="C471" s="135">
        <v>511300</v>
      </c>
      <c r="D471" s="29" t="s">
        <v>2</v>
      </c>
      <c r="E471" s="59">
        <v>1000</v>
      </c>
      <c r="F471" s="170">
        <v>880</v>
      </c>
      <c r="G471" s="170">
        <v>2000</v>
      </c>
      <c r="H471" s="181">
        <f t="shared" si="39"/>
        <v>200</v>
      </c>
      <c r="I471" s="257">
        <f t="shared" si="40"/>
        <v>0.012578616352201257</v>
      </c>
      <c r="J471" s="6"/>
    </row>
    <row r="472" spans="1:10" ht="30" customHeight="1">
      <c r="A472" s="550"/>
      <c r="B472" s="551"/>
      <c r="C472" s="546" t="s">
        <v>310</v>
      </c>
      <c r="D472" s="546"/>
      <c r="E472" s="57">
        <f>E464+E470</f>
        <v>10300</v>
      </c>
      <c r="F472" s="57">
        <f>F464+F470</f>
        <v>10124</v>
      </c>
      <c r="G472" s="57">
        <f>G464+G470</f>
        <v>11700</v>
      </c>
      <c r="H472" s="261">
        <f t="shared" si="39"/>
        <v>113.59223300970874</v>
      </c>
      <c r="I472" s="263">
        <f t="shared" si="40"/>
        <v>0.07358490566037736</v>
      </c>
      <c r="J472" s="6"/>
    </row>
    <row r="473" spans="1:10" ht="21.75" customHeight="1">
      <c r="A473" s="398"/>
      <c r="B473" s="399"/>
      <c r="C473" s="544" t="s">
        <v>420</v>
      </c>
      <c r="D473" s="549"/>
      <c r="E473" s="411"/>
      <c r="F473" s="411"/>
      <c r="G473" s="411"/>
      <c r="H473" s="405"/>
      <c r="I473" s="420"/>
      <c r="J473" s="6"/>
    </row>
    <row r="474" spans="1:10" ht="21.75" customHeight="1">
      <c r="A474" s="402"/>
      <c r="B474" s="403"/>
      <c r="C474" s="549"/>
      <c r="D474" s="549"/>
      <c r="E474" s="412"/>
      <c r="F474" s="412"/>
      <c r="G474" s="412"/>
      <c r="H474" s="409"/>
      <c r="I474" s="422"/>
      <c r="J474" s="6"/>
    </row>
    <row r="475" spans="1:10" ht="12.75">
      <c r="A475" s="404"/>
      <c r="B475" s="275" t="s">
        <v>421</v>
      </c>
      <c r="C475" s="274"/>
      <c r="D475" s="32" t="s">
        <v>384</v>
      </c>
      <c r="E475" s="289">
        <f>SUM(E476)</f>
        <v>3000</v>
      </c>
      <c r="F475" s="289">
        <f>SUM(F476)</f>
        <v>3000</v>
      </c>
      <c r="G475" s="289">
        <f>SUM(G476)</f>
        <v>3000</v>
      </c>
      <c r="H475" s="289">
        <f aca="true" t="shared" si="41" ref="H475:H488">IF(E475&gt;0,G475/E475*100,0)</f>
        <v>100</v>
      </c>
      <c r="I475" s="290">
        <f aca="true" t="shared" si="42" ref="I475:I481">G475/$G$534*100</f>
        <v>0.018867924528301886</v>
      </c>
      <c r="J475" s="6"/>
    </row>
    <row r="476" spans="1:10" ht="24">
      <c r="A476" s="276" t="s">
        <v>28</v>
      </c>
      <c r="B476" s="275"/>
      <c r="C476" s="277">
        <v>411200</v>
      </c>
      <c r="D476" s="23" t="s">
        <v>385</v>
      </c>
      <c r="E476" s="59">
        <v>3000</v>
      </c>
      <c r="F476" s="59">
        <v>3000</v>
      </c>
      <c r="G476" s="59">
        <v>3000</v>
      </c>
      <c r="H476" s="341">
        <f t="shared" si="41"/>
        <v>100</v>
      </c>
      <c r="I476" s="257">
        <f t="shared" si="42"/>
        <v>0.018867924528301886</v>
      </c>
      <c r="J476" s="6"/>
    </row>
    <row r="477" spans="1:10" ht="12.75">
      <c r="A477" s="276"/>
      <c r="B477" s="275" t="s">
        <v>422</v>
      </c>
      <c r="C477" s="274"/>
      <c r="D477" s="32" t="s">
        <v>134</v>
      </c>
      <c r="E477" s="289">
        <f>SUM(E478:E485)</f>
        <v>7300</v>
      </c>
      <c r="F477" s="289">
        <f>SUM(F478:F485)</f>
        <v>5112</v>
      </c>
      <c r="G477" s="289">
        <f>SUM(G478:G485)</f>
        <v>6100</v>
      </c>
      <c r="H477" s="289">
        <f t="shared" si="41"/>
        <v>83.56164383561644</v>
      </c>
      <c r="I477" s="290">
        <f t="shared" si="42"/>
        <v>0.03836477987421384</v>
      </c>
      <c r="J477" s="6"/>
    </row>
    <row r="478" spans="1:10" ht="24">
      <c r="A478" s="276" t="s">
        <v>28</v>
      </c>
      <c r="B478" s="275"/>
      <c r="C478" s="277">
        <v>412200</v>
      </c>
      <c r="D478" s="26" t="s">
        <v>136</v>
      </c>
      <c r="E478" s="59">
        <v>5000</v>
      </c>
      <c r="F478" s="59">
        <v>0</v>
      </c>
      <c r="G478" s="59">
        <v>3800</v>
      </c>
      <c r="H478" s="341">
        <f t="shared" si="41"/>
        <v>76</v>
      </c>
      <c r="I478" s="257">
        <f t="shared" si="42"/>
        <v>0.023899371069182388</v>
      </c>
      <c r="J478" s="6"/>
    </row>
    <row r="479" spans="1:10" ht="12.75">
      <c r="A479" s="276" t="s">
        <v>28</v>
      </c>
      <c r="B479" s="275"/>
      <c r="C479" s="277">
        <v>412300</v>
      </c>
      <c r="D479" s="29" t="s">
        <v>137</v>
      </c>
      <c r="E479" s="59">
        <v>700</v>
      </c>
      <c r="F479" s="59">
        <v>650</v>
      </c>
      <c r="G479" s="59">
        <v>700</v>
      </c>
      <c r="H479" s="341">
        <f t="shared" si="41"/>
        <v>100</v>
      </c>
      <c r="I479" s="257">
        <f t="shared" si="42"/>
        <v>0.00440251572327044</v>
      </c>
      <c r="J479" s="6"/>
    </row>
    <row r="480" spans="1:10" ht="18" customHeight="1">
      <c r="A480" s="276" t="s">
        <v>28</v>
      </c>
      <c r="B480" s="275"/>
      <c r="C480" s="277">
        <v>412400</v>
      </c>
      <c r="D480" s="26" t="s">
        <v>138</v>
      </c>
      <c r="E480" s="59">
        <v>200</v>
      </c>
      <c r="F480" s="59">
        <v>50</v>
      </c>
      <c r="G480" s="59">
        <v>200</v>
      </c>
      <c r="H480" s="341">
        <f t="shared" si="41"/>
        <v>100</v>
      </c>
      <c r="I480" s="257">
        <f t="shared" si="42"/>
        <v>0.001257861635220126</v>
      </c>
      <c r="J480" s="6"/>
    </row>
    <row r="481" spans="1:10" ht="0.75" customHeight="1" hidden="1">
      <c r="A481" s="276" t="s">
        <v>28</v>
      </c>
      <c r="B481" s="275"/>
      <c r="C481" s="277">
        <v>412600</v>
      </c>
      <c r="D481" s="26" t="s">
        <v>140</v>
      </c>
      <c r="E481" s="59">
        <v>0</v>
      </c>
      <c r="F481" s="59"/>
      <c r="G481" s="59"/>
      <c r="H481" s="341">
        <f t="shared" si="41"/>
        <v>0</v>
      </c>
      <c r="I481" s="257">
        <f t="shared" si="42"/>
        <v>0</v>
      </c>
      <c r="J481" s="6"/>
    </row>
    <row r="482" spans="1:10" ht="10.5" customHeight="1">
      <c r="A482" s="276" t="s">
        <v>28</v>
      </c>
      <c r="B482" s="275"/>
      <c r="C482" s="277">
        <v>412500</v>
      </c>
      <c r="D482" s="26" t="s">
        <v>549</v>
      </c>
      <c r="E482" s="59">
        <v>0</v>
      </c>
      <c r="F482" s="59">
        <v>2600</v>
      </c>
      <c r="G482" s="59">
        <v>0</v>
      </c>
      <c r="H482" s="341">
        <f t="shared" si="41"/>
        <v>0</v>
      </c>
      <c r="I482" s="257"/>
      <c r="J482" s="6"/>
    </row>
    <row r="483" spans="1:10" ht="12.75">
      <c r="A483" s="276" t="s">
        <v>28</v>
      </c>
      <c r="B483" s="275"/>
      <c r="C483" s="277">
        <v>412700</v>
      </c>
      <c r="D483" s="66" t="s">
        <v>141</v>
      </c>
      <c r="E483" s="59">
        <v>800</v>
      </c>
      <c r="F483" s="59">
        <v>792</v>
      </c>
      <c r="G483" s="59">
        <v>800</v>
      </c>
      <c r="H483" s="341">
        <f t="shared" si="41"/>
        <v>100</v>
      </c>
      <c r="I483" s="257">
        <f aca="true" t="shared" si="43" ref="I483:I488">G483/$G$534*100</f>
        <v>0.005031446540880504</v>
      </c>
      <c r="J483" s="6"/>
    </row>
    <row r="484" spans="1:10" ht="12.75">
      <c r="A484" s="276" t="s">
        <v>28</v>
      </c>
      <c r="B484" s="275"/>
      <c r="C484" s="277">
        <v>412900</v>
      </c>
      <c r="D484" s="66" t="s">
        <v>143</v>
      </c>
      <c r="E484" s="256">
        <v>600</v>
      </c>
      <c r="F484" s="256">
        <v>520</v>
      </c>
      <c r="G484" s="256">
        <v>600</v>
      </c>
      <c r="H484" s="341">
        <f t="shared" si="41"/>
        <v>100</v>
      </c>
      <c r="I484" s="257">
        <f t="shared" si="43"/>
        <v>0.0037735849056603774</v>
      </c>
      <c r="J484" s="6"/>
    </row>
    <row r="485" spans="1:10" ht="12.75">
      <c r="A485" s="276" t="s">
        <v>28</v>
      </c>
      <c r="B485" s="275"/>
      <c r="C485" s="277">
        <v>412900</v>
      </c>
      <c r="D485" s="29" t="s">
        <v>517</v>
      </c>
      <c r="E485" s="341">
        <v>0</v>
      </c>
      <c r="F485" s="341">
        <v>500</v>
      </c>
      <c r="G485" s="341">
        <v>0</v>
      </c>
      <c r="H485" s="341">
        <f t="shared" si="41"/>
        <v>0</v>
      </c>
      <c r="I485" s="257">
        <f t="shared" si="43"/>
        <v>0</v>
      </c>
      <c r="J485" s="6"/>
    </row>
    <row r="486" spans="1:10" ht="14.25" customHeight="1">
      <c r="A486" s="397"/>
      <c r="B486" s="19">
        <v>511000</v>
      </c>
      <c r="C486" s="29"/>
      <c r="D486" s="28" t="s">
        <v>152</v>
      </c>
      <c r="E486" s="289">
        <f>SUM(E487)</f>
        <v>0</v>
      </c>
      <c r="F486" s="289">
        <f>SUM(F487)</f>
        <v>2400</v>
      </c>
      <c r="G486" s="289">
        <f>SUM(G487)</f>
        <v>5000</v>
      </c>
      <c r="H486" s="289">
        <f t="shared" si="41"/>
        <v>0</v>
      </c>
      <c r="I486" s="290">
        <f t="shared" si="43"/>
        <v>0.031446540880503145</v>
      </c>
      <c r="J486" s="6"/>
    </row>
    <row r="487" spans="1:10" ht="14.25" customHeight="1">
      <c r="A487" s="397" t="s">
        <v>28</v>
      </c>
      <c r="B487" s="275"/>
      <c r="C487" s="13">
        <v>511300</v>
      </c>
      <c r="D487" s="26" t="s">
        <v>2</v>
      </c>
      <c r="E487" s="256">
        <v>0</v>
      </c>
      <c r="F487" s="256">
        <v>2400</v>
      </c>
      <c r="G487" s="256">
        <v>5000</v>
      </c>
      <c r="H487" s="341">
        <f t="shared" si="41"/>
        <v>0</v>
      </c>
      <c r="I487" s="257">
        <f t="shared" si="43"/>
        <v>0.031446540880503145</v>
      </c>
      <c r="J487" s="6"/>
    </row>
    <row r="488" spans="1:10" ht="24.75" customHeight="1">
      <c r="A488" s="558"/>
      <c r="B488" s="559"/>
      <c r="C488" s="546" t="s">
        <v>423</v>
      </c>
      <c r="D488" s="547"/>
      <c r="E488" s="265">
        <f>E475+E477+E486</f>
        <v>10300</v>
      </c>
      <c r="F488" s="265">
        <f>F475+F477+F486</f>
        <v>10512</v>
      </c>
      <c r="G488" s="265">
        <f>G475+G477+G486</f>
        <v>14100</v>
      </c>
      <c r="H488" s="435">
        <f t="shared" si="41"/>
        <v>136.89320388349515</v>
      </c>
      <c r="I488" s="263">
        <f t="shared" si="43"/>
        <v>0.08867924528301886</v>
      </c>
      <c r="J488" s="6"/>
    </row>
    <row r="489" spans="1:10" ht="19.5" customHeight="1">
      <c r="A489" s="542"/>
      <c r="B489" s="543"/>
      <c r="C489" s="544" t="s">
        <v>280</v>
      </c>
      <c r="D489" s="554"/>
      <c r="E489" s="149"/>
      <c r="F489" s="149"/>
      <c r="G489" s="149"/>
      <c r="H489" s="149"/>
      <c r="I489" s="300"/>
      <c r="J489" s="6"/>
    </row>
    <row r="490" spans="1:10" ht="16.5" customHeight="1">
      <c r="A490" s="542"/>
      <c r="B490" s="543"/>
      <c r="C490" s="555"/>
      <c r="D490" s="554"/>
      <c r="E490" s="151"/>
      <c r="F490" s="151"/>
      <c r="G490" s="151"/>
      <c r="H490" s="151"/>
      <c r="I490" s="302"/>
      <c r="J490" s="6"/>
    </row>
    <row r="491" spans="1:10" ht="14.25" customHeight="1">
      <c r="A491" s="24"/>
      <c r="B491" s="19">
        <v>412000</v>
      </c>
      <c r="C491" s="13"/>
      <c r="D491" s="28" t="s">
        <v>134</v>
      </c>
      <c r="E491" s="289">
        <f>SUM(E492:E492)</f>
        <v>500</v>
      </c>
      <c r="F491" s="289">
        <f>SUM(F492:F492)</f>
        <v>500</v>
      </c>
      <c r="G491" s="289">
        <f>SUM(G492:G492)</f>
        <v>500</v>
      </c>
      <c r="H491" s="289">
        <f aca="true" t="shared" si="44" ref="H491:H529">IF(E491&gt;0,G491/E491*100,0)</f>
        <v>100</v>
      </c>
      <c r="I491" s="290">
        <f aca="true" t="shared" si="45" ref="I491:I529">G491/$G$534*100</f>
        <v>0.003144654088050314</v>
      </c>
      <c r="J491" s="6"/>
    </row>
    <row r="492" spans="1:10" ht="38.25" customHeight="1">
      <c r="A492" s="120" t="s">
        <v>24</v>
      </c>
      <c r="B492" s="19"/>
      <c r="C492" s="26">
        <v>412900</v>
      </c>
      <c r="D492" s="30" t="s">
        <v>439</v>
      </c>
      <c r="E492" s="170">
        <v>500</v>
      </c>
      <c r="F492" s="170">
        <v>500</v>
      </c>
      <c r="G492" s="170">
        <v>500</v>
      </c>
      <c r="H492" s="341">
        <f t="shared" si="44"/>
        <v>100</v>
      </c>
      <c r="I492" s="257">
        <f t="shared" si="45"/>
        <v>0.003144654088050314</v>
      </c>
      <c r="J492" s="6"/>
    </row>
    <row r="493" spans="1:10" ht="15.75" customHeight="1">
      <c r="A493" s="120"/>
      <c r="B493" s="19">
        <v>413000</v>
      </c>
      <c r="C493" s="26"/>
      <c r="D493" s="50" t="s">
        <v>144</v>
      </c>
      <c r="E493" s="162">
        <f>E494+E502</f>
        <v>245500</v>
      </c>
      <c r="F493" s="162">
        <f>F494+F502</f>
        <v>233700</v>
      </c>
      <c r="G493" s="162">
        <f>G494+G502</f>
        <v>215000</v>
      </c>
      <c r="H493" s="289">
        <f t="shared" si="44"/>
        <v>87.57637474541752</v>
      </c>
      <c r="I493" s="254">
        <f t="shared" si="45"/>
        <v>1.3522012578616354</v>
      </c>
      <c r="J493" s="6"/>
    </row>
    <row r="494" spans="1:10" ht="15.75" customHeight="1">
      <c r="A494" s="120"/>
      <c r="B494" s="19"/>
      <c r="C494" s="50"/>
      <c r="D494" s="50" t="s">
        <v>145</v>
      </c>
      <c r="E494" s="195">
        <f>SUM(E495:E501)</f>
        <v>235500</v>
      </c>
      <c r="F494" s="195">
        <f>SUM(F495:F501)</f>
        <v>222500</v>
      </c>
      <c r="G494" s="195">
        <f>SUM(G495:G501)</f>
        <v>215000</v>
      </c>
      <c r="H494" s="439">
        <f t="shared" si="44"/>
        <v>91.29511677282377</v>
      </c>
      <c r="I494" s="258">
        <f t="shared" si="45"/>
        <v>1.3522012578616354</v>
      </c>
      <c r="J494" s="6"/>
    </row>
    <row r="495" spans="1:10" ht="12.75" customHeight="1">
      <c r="A495" s="120" t="s">
        <v>56</v>
      </c>
      <c r="B495" s="29"/>
      <c r="C495" s="33">
        <v>413300</v>
      </c>
      <c r="D495" s="26" t="s">
        <v>126</v>
      </c>
      <c r="E495" s="170">
        <v>5500</v>
      </c>
      <c r="F495" s="170">
        <v>5500</v>
      </c>
      <c r="G495" s="170">
        <v>0</v>
      </c>
      <c r="H495" s="341">
        <f t="shared" si="44"/>
        <v>0</v>
      </c>
      <c r="I495" s="257">
        <f t="shared" si="45"/>
        <v>0</v>
      </c>
      <c r="J495" s="6"/>
    </row>
    <row r="496" spans="1:10" ht="12.75" customHeight="1" hidden="1">
      <c r="A496" s="120" t="s">
        <v>56</v>
      </c>
      <c r="B496" s="29"/>
      <c r="C496" s="33">
        <v>413300</v>
      </c>
      <c r="D496" s="26" t="s">
        <v>127</v>
      </c>
      <c r="E496" s="161">
        <v>0</v>
      </c>
      <c r="F496" s="161"/>
      <c r="G496" s="161"/>
      <c r="H496" s="341">
        <f t="shared" si="44"/>
        <v>0</v>
      </c>
      <c r="I496" s="257">
        <f t="shared" si="45"/>
        <v>0</v>
      </c>
      <c r="J496" s="6"/>
    </row>
    <row r="497" spans="1:10" ht="12.75" customHeight="1" hidden="1">
      <c r="A497" s="120" t="s">
        <v>56</v>
      </c>
      <c r="B497" s="29"/>
      <c r="C497" s="33">
        <v>413300</v>
      </c>
      <c r="D497" s="26" t="s">
        <v>129</v>
      </c>
      <c r="E497" s="161">
        <v>0</v>
      </c>
      <c r="F497" s="161"/>
      <c r="G497" s="161"/>
      <c r="H497" s="341">
        <f t="shared" si="44"/>
        <v>0</v>
      </c>
      <c r="I497" s="257">
        <f t="shared" si="45"/>
        <v>0</v>
      </c>
      <c r="J497" s="6"/>
    </row>
    <row r="498" spans="1:10" ht="12.75" customHeight="1" hidden="1">
      <c r="A498" s="120" t="s">
        <v>56</v>
      </c>
      <c r="B498" s="29"/>
      <c r="C498" s="33">
        <v>413300</v>
      </c>
      <c r="D498" s="26" t="s">
        <v>128</v>
      </c>
      <c r="E498" s="161">
        <v>0</v>
      </c>
      <c r="F498" s="161"/>
      <c r="G498" s="161"/>
      <c r="H498" s="341">
        <f t="shared" si="44"/>
        <v>0</v>
      </c>
      <c r="I498" s="257">
        <f t="shared" si="45"/>
        <v>0</v>
      </c>
      <c r="J498" s="6"/>
    </row>
    <row r="499" spans="1:10" ht="12.75" customHeight="1" hidden="1">
      <c r="A499" s="120" t="s">
        <v>56</v>
      </c>
      <c r="B499" s="29"/>
      <c r="C499" s="33">
        <v>413300</v>
      </c>
      <c r="D499" s="26" t="s">
        <v>268</v>
      </c>
      <c r="E499" s="161">
        <v>0</v>
      </c>
      <c r="F499" s="161"/>
      <c r="G499" s="161"/>
      <c r="H499" s="341">
        <f t="shared" si="44"/>
        <v>0</v>
      </c>
      <c r="I499" s="257">
        <f t="shared" si="45"/>
        <v>0</v>
      </c>
      <c r="J499" s="6"/>
    </row>
    <row r="500" spans="1:10" ht="12.75" customHeight="1" hidden="1">
      <c r="A500" s="120" t="s">
        <v>56</v>
      </c>
      <c r="B500" s="29"/>
      <c r="C500" s="33">
        <v>413300</v>
      </c>
      <c r="D500" s="26" t="s">
        <v>358</v>
      </c>
      <c r="E500" s="161">
        <v>0</v>
      </c>
      <c r="F500" s="161"/>
      <c r="G500" s="161"/>
      <c r="H500" s="341">
        <f t="shared" si="44"/>
        <v>0</v>
      </c>
      <c r="I500" s="257">
        <f t="shared" si="45"/>
        <v>0</v>
      </c>
      <c r="J500" s="6"/>
    </row>
    <row r="501" spans="1:10" ht="12.75" customHeight="1">
      <c r="A501" s="120" t="s">
        <v>56</v>
      </c>
      <c r="B501" s="29"/>
      <c r="C501" s="33">
        <v>413300</v>
      </c>
      <c r="D501" s="26" t="s">
        <v>441</v>
      </c>
      <c r="E501" s="161">
        <v>230000</v>
      </c>
      <c r="F501" s="161">
        <v>217000</v>
      </c>
      <c r="G501" s="161">
        <v>215000</v>
      </c>
      <c r="H501" s="341">
        <f t="shared" si="44"/>
        <v>93.47826086956522</v>
      </c>
      <c r="I501" s="257">
        <f t="shared" si="45"/>
        <v>1.3522012578616354</v>
      </c>
      <c r="J501" s="6"/>
    </row>
    <row r="502" spans="1:10" ht="15.75" customHeight="1">
      <c r="A502" s="120"/>
      <c r="B502" s="29"/>
      <c r="C502" s="13"/>
      <c r="D502" s="50" t="s">
        <v>351</v>
      </c>
      <c r="E502" s="195">
        <f>SUM(E503:E504)</f>
        <v>10000</v>
      </c>
      <c r="F502" s="195">
        <f>SUM(F503:F504)</f>
        <v>11200</v>
      </c>
      <c r="G502" s="195">
        <f>SUM(G503:G504)</f>
        <v>0</v>
      </c>
      <c r="H502" s="439">
        <f t="shared" si="44"/>
        <v>0</v>
      </c>
      <c r="I502" s="258">
        <f t="shared" si="45"/>
        <v>0</v>
      </c>
      <c r="J502" s="6"/>
    </row>
    <row r="503" spans="1:10" ht="24">
      <c r="A503" s="120" t="s">
        <v>56</v>
      </c>
      <c r="B503" s="29"/>
      <c r="C503" s="13">
        <v>413700</v>
      </c>
      <c r="D503" s="26" t="s">
        <v>438</v>
      </c>
      <c r="E503" s="161">
        <v>10000</v>
      </c>
      <c r="F503" s="161">
        <v>11200</v>
      </c>
      <c r="G503" s="161">
        <v>0</v>
      </c>
      <c r="H503" s="341">
        <f t="shared" si="44"/>
        <v>0</v>
      </c>
      <c r="I503" s="257">
        <f t="shared" si="45"/>
        <v>0</v>
      </c>
      <c r="J503" s="6"/>
    </row>
    <row r="504" spans="1:10" ht="27.75" customHeight="1" hidden="1">
      <c r="A504" s="120" t="s">
        <v>56</v>
      </c>
      <c r="B504" s="29"/>
      <c r="C504" s="13">
        <v>413700</v>
      </c>
      <c r="D504" s="26" t="s">
        <v>437</v>
      </c>
      <c r="E504" s="161">
        <v>0</v>
      </c>
      <c r="F504" s="161"/>
      <c r="G504" s="161"/>
      <c r="H504" s="289">
        <f t="shared" si="44"/>
        <v>0</v>
      </c>
      <c r="I504" s="257">
        <f t="shared" si="45"/>
        <v>0</v>
      </c>
      <c r="J504" s="6"/>
    </row>
    <row r="505" spans="1:10" ht="24.75" customHeight="1">
      <c r="A505" s="120"/>
      <c r="B505" s="19">
        <v>418000</v>
      </c>
      <c r="C505" s="13"/>
      <c r="D505" s="28" t="s">
        <v>470</v>
      </c>
      <c r="E505" s="289">
        <f aca="true" t="shared" si="46" ref="E505:G506">SUM(E506)</f>
        <v>4000</v>
      </c>
      <c r="F505" s="289">
        <f t="shared" si="46"/>
        <v>4000</v>
      </c>
      <c r="G505" s="289">
        <f t="shared" si="46"/>
        <v>4000</v>
      </c>
      <c r="H505" s="289">
        <f t="shared" si="44"/>
        <v>100</v>
      </c>
      <c r="I505" s="290">
        <f t="shared" si="45"/>
        <v>0.025157232704402514</v>
      </c>
      <c r="J505" s="6"/>
    </row>
    <row r="506" spans="1:10" ht="24.75" customHeight="1">
      <c r="A506" s="120"/>
      <c r="B506" s="19"/>
      <c r="C506" s="13"/>
      <c r="D506" s="28" t="s">
        <v>473</v>
      </c>
      <c r="E506" s="195">
        <f t="shared" si="46"/>
        <v>4000</v>
      </c>
      <c r="F506" s="195">
        <f t="shared" si="46"/>
        <v>4000</v>
      </c>
      <c r="G506" s="195">
        <f t="shared" si="46"/>
        <v>4000</v>
      </c>
      <c r="H506" s="439">
        <f t="shared" si="44"/>
        <v>100</v>
      </c>
      <c r="I506" s="258">
        <f t="shared" si="45"/>
        <v>0.025157232704402514</v>
      </c>
      <c r="J506" s="6"/>
    </row>
    <row r="507" spans="1:10" ht="12.75" customHeight="1">
      <c r="A507" s="120" t="s">
        <v>56</v>
      </c>
      <c r="B507" s="29"/>
      <c r="C507" s="13">
        <v>418100</v>
      </c>
      <c r="D507" s="26" t="s">
        <v>236</v>
      </c>
      <c r="E507" s="161">
        <v>4000</v>
      </c>
      <c r="F507" s="161">
        <v>4000</v>
      </c>
      <c r="G507" s="161">
        <v>4000</v>
      </c>
      <c r="H507" s="341">
        <f t="shared" si="44"/>
        <v>100</v>
      </c>
      <c r="I507" s="257">
        <f t="shared" si="45"/>
        <v>0.025157232704402514</v>
      </c>
      <c r="J507" s="6"/>
    </row>
    <row r="508" spans="1:10" ht="15.75" customHeight="1">
      <c r="A508" s="120"/>
      <c r="B508" s="19">
        <v>487000</v>
      </c>
      <c r="C508" s="13"/>
      <c r="D508" s="28" t="s">
        <v>401</v>
      </c>
      <c r="E508" s="162">
        <f>E509+E513</f>
        <v>14200</v>
      </c>
      <c r="F508" s="162">
        <f>F509+F513</f>
        <v>14200</v>
      </c>
      <c r="G508" s="162">
        <f>G509+G513</f>
        <v>13300</v>
      </c>
      <c r="H508" s="289">
        <f t="shared" si="44"/>
        <v>93.66197183098592</v>
      </c>
      <c r="I508" s="254">
        <f t="shared" si="45"/>
        <v>0.08364779874213836</v>
      </c>
      <c r="J508" s="6"/>
    </row>
    <row r="509" spans="1:10" ht="39" customHeight="1">
      <c r="A509" s="120"/>
      <c r="B509" s="19"/>
      <c r="C509" s="13"/>
      <c r="D509" s="42" t="s">
        <v>440</v>
      </c>
      <c r="E509" s="259">
        <f>SUM(E510:E512)</f>
        <v>11000</v>
      </c>
      <c r="F509" s="259">
        <f>SUM(F510:F512)</f>
        <v>11000</v>
      </c>
      <c r="G509" s="259">
        <f>SUM(G510:G512)</f>
        <v>10000</v>
      </c>
      <c r="H509" s="439">
        <f t="shared" si="44"/>
        <v>90.9090909090909</v>
      </c>
      <c r="I509" s="258">
        <f t="shared" si="45"/>
        <v>0.06289308176100629</v>
      </c>
      <c r="J509" s="6"/>
    </row>
    <row r="510" spans="1:10" ht="12.75">
      <c r="A510" s="120" t="s">
        <v>36</v>
      </c>
      <c r="B510" s="29"/>
      <c r="C510" s="13">
        <v>487200</v>
      </c>
      <c r="D510" s="26" t="s">
        <v>418</v>
      </c>
      <c r="E510" s="170">
        <v>7000</v>
      </c>
      <c r="F510" s="170">
        <v>7000</v>
      </c>
      <c r="G510" s="170">
        <v>6000</v>
      </c>
      <c r="H510" s="341">
        <f t="shared" si="44"/>
        <v>85.71428571428571</v>
      </c>
      <c r="I510" s="257">
        <f t="shared" si="45"/>
        <v>0.03773584905660377</v>
      </c>
      <c r="J510" s="6"/>
    </row>
    <row r="511" spans="1:10" ht="12.75">
      <c r="A511" s="120" t="s">
        <v>36</v>
      </c>
      <c r="B511" s="29"/>
      <c r="C511" s="13">
        <v>487300</v>
      </c>
      <c r="D511" s="26" t="s">
        <v>414</v>
      </c>
      <c r="E511" s="170">
        <v>1000</v>
      </c>
      <c r="F511" s="170">
        <v>1000</v>
      </c>
      <c r="G511" s="170">
        <v>1000</v>
      </c>
      <c r="H511" s="341">
        <f t="shared" si="44"/>
        <v>100</v>
      </c>
      <c r="I511" s="257">
        <f t="shared" si="45"/>
        <v>0.006289308176100628</v>
      </c>
      <c r="J511" s="6"/>
    </row>
    <row r="512" spans="1:10" ht="12.75">
      <c r="A512" s="120" t="s">
        <v>36</v>
      </c>
      <c r="B512" s="29"/>
      <c r="C512" s="13">
        <v>487400</v>
      </c>
      <c r="D512" s="26" t="s">
        <v>387</v>
      </c>
      <c r="E512" s="170">
        <v>3000</v>
      </c>
      <c r="F512" s="170">
        <v>3000</v>
      </c>
      <c r="G512" s="170">
        <v>3000</v>
      </c>
      <c r="H512" s="341">
        <f t="shared" si="44"/>
        <v>100</v>
      </c>
      <c r="I512" s="257">
        <f t="shared" si="45"/>
        <v>0.018867924528301886</v>
      </c>
      <c r="J512" s="6"/>
    </row>
    <row r="513" spans="1:10" ht="12.75">
      <c r="A513" s="120"/>
      <c r="B513" s="29"/>
      <c r="C513" s="13"/>
      <c r="D513" s="28" t="s">
        <v>400</v>
      </c>
      <c r="E513" s="259">
        <f>SUM(E514)</f>
        <v>3200</v>
      </c>
      <c r="F513" s="259">
        <f>SUM(F514)</f>
        <v>3200</v>
      </c>
      <c r="G513" s="259">
        <f>SUM(G514)</f>
        <v>3300</v>
      </c>
      <c r="H513" s="439">
        <f t="shared" si="44"/>
        <v>103.125</v>
      </c>
      <c r="I513" s="258">
        <f t="shared" si="45"/>
        <v>0.020754716981132074</v>
      </c>
      <c r="J513" s="6"/>
    </row>
    <row r="514" spans="1:10" ht="24" customHeight="1">
      <c r="A514" s="120" t="s">
        <v>36</v>
      </c>
      <c r="B514" s="29"/>
      <c r="C514" s="13">
        <v>487900</v>
      </c>
      <c r="D514" s="26" t="s">
        <v>469</v>
      </c>
      <c r="E514" s="170">
        <v>3200</v>
      </c>
      <c r="F514" s="170">
        <v>3200</v>
      </c>
      <c r="G514" s="170">
        <v>3300</v>
      </c>
      <c r="H514" s="341">
        <f t="shared" si="44"/>
        <v>103.125</v>
      </c>
      <c r="I514" s="257">
        <f t="shared" si="45"/>
        <v>0.020754716981132074</v>
      </c>
      <c r="J514" s="6"/>
    </row>
    <row r="515" spans="1:10" ht="13.5" customHeight="1">
      <c r="A515" s="120"/>
      <c r="B515" s="55">
        <v>621000</v>
      </c>
      <c r="C515" s="13"/>
      <c r="D515" s="28" t="s">
        <v>156</v>
      </c>
      <c r="E515" s="56">
        <f>E516+E519</f>
        <v>1405000</v>
      </c>
      <c r="F515" s="56">
        <f>F516+F519</f>
        <v>1360400</v>
      </c>
      <c r="G515" s="56">
        <f>G516+G519</f>
        <v>856000</v>
      </c>
      <c r="H515" s="289">
        <f t="shared" si="44"/>
        <v>60.92526690391459</v>
      </c>
      <c r="I515" s="254">
        <f t="shared" si="45"/>
        <v>5.383647798742138</v>
      </c>
      <c r="J515" s="6"/>
    </row>
    <row r="516" spans="1:10" ht="15" customHeight="1">
      <c r="A516" s="120"/>
      <c r="B516" s="55"/>
      <c r="C516" s="13"/>
      <c r="D516" s="28" t="s">
        <v>164</v>
      </c>
      <c r="E516" s="259">
        <f>SUM(E517:E518)</f>
        <v>1380000</v>
      </c>
      <c r="F516" s="259">
        <f>SUM(F517:F518)</f>
        <v>1335400</v>
      </c>
      <c r="G516" s="259">
        <f>SUM(G517:G518)</f>
        <v>831000</v>
      </c>
      <c r="H516" s="439">
        <f t="shared" si="44"/>
        <v>60.21739130434782</v>
      </c>
      <c r="I516" s="258">
        <f t="shared" si="45"/>
        <v>5.226415094339623</v>
      </c>
      <c r="J516" s="6"/>
    </row>
    <row r="517" spans="1:10" ht="14.25" customHeight="1">
      <c r="A517" s="120"/>
      <c r="B517" s="55"/>
      <c r="C517" s="13">
        <v>621300</v>
      </c>
      <c r="D517" s="26" t="s">
        <v>415</v>
      </c>
      <c r="E517" s="181">
        <v>590000</v>
      </c>
      <c r="F517" s="181">
        <v>574400</v>
      </c>
      <c r="G517" s="181">
        <v>0</v>
      </c>
      <c r="H517" s="341">
        <f t="shared" si="44"/>
        <v>0</v>
      </c>
      <c r="I517" s="257">
        <f t="shared" si="45"/>
        <v>0</v>
      </c>
      <c r="J517" s="6"/>
    </row>
    <row r="518" spans="1:10" ht="15" customHeight="1">
      <c r="A518" s="120"/>
      <c r="B518" s="64"/>
      <c r="C518" s="34">
        <v>621300</v>
      </c>
      <c r="D518" s="30" t="s">
        <v>442</v>
      </c>
      <c r="E518" s="161">
        <v>790000</v>
      </c>
      <c r="F518" s="161">
        <v>761000</v>
      </c>
      <c r="G518" s="161">
        <v>831000</v>
      </c>
      <c r="H518" s="341">
        <f t="shared" si="44"/>
        <v>105.18987341772153</v>
      </c>
      <c r="I518" s="257">
        <f t="shared" si="45"/>
        <v>5.226415094339623</v>
      </c>
      <c r="J518" s="6"/>
    </row>
    <row r="519" spans="1:10" ht="12.75">
      <c r="A519" s="120"/>
      <c r="B519" s="64"/>
      <c r="C519" s="34"/>
      <c r="D519" s="42" t="s">
        <v>341</v>
      </c>
      <c r="E519" s="364">
        <f>E520</f>
        <v>25000</v>
      </c>
      <c r="F519" s="364">
        <f>F520</f>
        <v>25000</v>
      </c>
      <c r="G519" s="364">
        <f>G520</f>
        <v>25000</v>
      </c>
      <c r="H519" s="439">
        <f t="shared" si="44"/>
        <v>100</v>
      </c>
      <c r="I519" s="258">
        <f t="shared" si="45"/>
        <v>0.15723270440251574</v>
      </c>
      <c r="J519" s="6"/>
    </row>
    <row r="520" spans="1:10" ht="14.25" customHeight="1">
      <c r="A520" s="120"/>
      <c r="B520" s="64"/>
      <c r="C520" s="34">
        <v>621900</v>
      </c>
      <c r="D520" s="30" t="s">
        <v>357</v>
      </c>
      <c r="E520" s="161">
        <v>25000</v>
      </c>
      <c r="F520" s="161">
        <v>25000</v>
      </c>
      <c r="G520" s="161">
        <v>25000</v>
      </c>
      <c r="H520" s="341">
        <f t="shared" si="44"/>
        <v>100</v>
      </c>
      <c r="I520" s="257">
        <f t="shared" si="45"/>
        <v>0.15723270440251574</v>
      </c>
      <c r="J520" s="6"/>
    </row>
    <row r="521" spans="1:10" ht="24">
      <c r="A521" s="120"/>
      <c r="B521" s="64">
        <v>628000</v>
      </c>
      <c r="C521" s="34"/>
      <c r="D521" s="42" t="s">
        <v>471</v>
      </c>
      <c r="E521" s="56">
        <f aca="true" t="shared" si="47" ref="E521:G522">SUM(E522)</f>
        <v>177000</v>
      </c>
      <c r="F521" s="56">
        <f t="shared" si="47"/>
        <v>177000</v>
      </c>
      <c r="G521" s="56">
        <f t="shared" si="47"/>
        <v>180000</v>
      </c>
      <c r="H521" s="289">
        <f t="shared" si="44"/>
        <v>101.69491525423729</v>
      </c>
      <c r="I521" s="254">
        <f t="shared" si="45"/>
        <v>1.1320754716981132</v>
      </c>
      <c r="J521" s="6"/>
    </row>
    <row r="522" spans="1:10" ht="24">
      <c r="A522" s="120"/>
      <c r="B522" s="64"/>
      <c r="C522" s="34"/>
      <c r="D522" s="42" t="s">
        <v>472</v>
      </c>
      <c r="E522" s="259">
        <f t="shared" si="47"/>
        <v>177000</v>
      </c>
      <c r="F522" s="259">
        <f t="shared" si="47"/>
        <v>177000</v>
      </c>
      <c r="G522" s="259">
        <f t="shared" si="47"/>
        <v>180000</v>
      </c>
      <c r="H522" s="439">
        <f t="shared" si="44"/>
        <v>101.69491525423729</v>
      </c>
      <c r="I522" s="258">
        <f t="shared" si="45"/>
        <v>1.1320754716981132</v>
      </c>
      <c r="J522" s="6"/>
    </row>
    <row r="523" spans="1:10" ht="12.75">
      <c r="A523" s="120"/>
      <c r="B523" s="64"/>
      <c r="C523" s="34">
        <v>628100</v>
      </c>
      <c r="D523" s="30" t="s">
        <v>416</v>
      </c>
      <c r="E523" s="161">
        <v>177000</v>
      </c>
      <c r="F523" s="161">
        <v>177000</v>
      </c>
      <c r="G523" s="161">
        <v>180000</v>
      </c>
      <c r="H523" s="341">
        <f t="shared" si="44"/>
        <v>101.69491525423729</v>
      </c>
      <c r="I523" s="257">
        <f t="shared" si="45"/>
        <v>1.1320754716981132</v>
      </c>
      <c r="J523" s="6"/>
    </row>
    <row r="524" spans="1:10" ht="12.75">
      <c r="A524" s="120"/>
      <c r="B524" s="55">
        <v>631000</v>
      </c>
      <c r="C524" s="34"/>
      <c r="D524" s="28" t="s">
        <v>377</v>
      </c>
      <c r="E524" s="56">
        <f>SUM(E525:E526)</f>
        <v>4000</v>
      </c>
      <c r="F524" s="56">
        <f>SUM(F525:F526)</f>
        <v>17500</v>
      </c>
      <c r="G524" s="56">
        <f>SUM(G525:G526)</f>
        <v>5450</v>
      </c>
      <c r="H524" s="289">
        <f t="shared" si="44"/>
        <v>136.25</v>
      </c>
      <c r="I524" s="254">
        <f t="shared" si="45"/>
        <v>0.03427672955974843</v>
      </c>
      <c r="J524" s="6"/>
    </row>
    <row r="525" spans="1:10" ht="12.75">
      <c r="A525" s="120"/>
      <c r="B525" s="55"/>
      <c r="C525" s="34">
        <v>631300</v>
      </c>
      <c r="D525" s="45" t="s">
        <v>518</v>
      </c>
      <c r="E525" s="170">
        <v>0</v>
      </c>
      <c r="F525" s="170">
        <v>12500</v>
      </c>
      <c r="G525" s="170">
        <v>0</v>
      </c>
      <c r="H525" s="341">
        <f t="shared" si="44"/>
        <v>0</v>
      </c>
      <c r="I525" s="257">
        <f t="shared" si="45"/>
        <v>0</v>
      </c>
      <c r="J525" s="6"/>
    </row>
    <row r="526" spans="1:10" ht="24">
      <c r="A526" s="120"/>
      <c r="B526" s="55"/>
      <c r="C526" s="34">
        <v>631900</v>
      </c>
      <c r="D526" s="26" t="s">
        <v>429</v>
      </c>
      <c r="E526" s="181">
        <v>4000</v>
      </c>
      <c r="F526" s="181">
        <v>5000</v>
      </c>
      <c r="G526" s="212">
        <v>5450</v>
      </c>
      <c r="H526" s="341">
        <f t="shared" si="44"/>
        <v>136.25</v>
      </c>
      <c r="I526" s="257">
        <f t="shared" si="45"/>
        <v>0.03427672955974843</v>
      </c>
      <c r="J526" s="6"/>
    </row>
    <row r="527" spans="1:10" ht="15" customHeight="1">
      <c r="A527" s="120"/>
      <c r="B527" s="64">
        <v>638000</v>
      </c>
      <c r="C527" s="34"/>
      <c r="D527" s="42" t="s">
        <v>417</v>
      </c>
      <c r="E527" s="56">
        <f>E528</f>
        <v>3000</v>
      </c>
      <c r="F527" s="56">
        <f>F528</f>
        <v>3750</v>
      </c>
      <c r="G527" s="56">
        <f>G528</f>
        <v>5000</v>
      </c>
      <c r="H527" s="289">
        <f t="shared" si="44"/>
        <v>166.66666666666669</v>
      </c>
      <c r="I527" s="254">
        <f t="shared" si="45"/>
        <v>0.031446540880503145</v>
      </c>
      <c r="J527" s="6"/>
    </row>
    <row r="528" spans="1:10" ht="24.75" customHeight="1">
      <c r="A528" s="120"/>
      <c r="B528" s="64"/>
      <c r="C528" s="34">
        <v>638100</v>
      </c>
      <c r="D528" s="30" t="s">
        <v>428</v>
      </c>
      <c r="E528" s="161">
        <v>3000</v>
      </c>
      <c r="F528" s="161">
        <v>3750</v>
      </c>
      <c r="G528" s="161">
        <v>5000</v>
      </c>
      <c r="H528" s="341">
        <f t="shared" si="44"/>
        <v>166.66666666666669</v>
      </c>
      <c r="I528" s="257">
        <f t="shared" si="45"/>
        <v>0.031446540880503145</v>
      </c>
      <c r="J528" s="6"/>
    </row>
    <row r="529" spans="1:10" ht="27.75" customHeight="1">
      <c r="A529" s="568"/>
      <c r="B529" s="569"/>
      <c r="C529" s="546" t="s">
        <v>227</v>
      </c>
      <c r="D529" s="546"/>
      <c r="E529" s="60">
        <f>E491+E493+E505+E508+E515+E521+E524+E527</f>
        <v>1853200</v>
      </c>
      <c r="F529" s="60">
        <f>F491+F493+F505+F508+F515+F521+F524+F527</f>
        <v>1811050</v>
      </c>
      <c r="G529" s="60">
        <f>G491+G493+G505+G508+G515+G521+G524+G527</f>
        <v>1279250</v>
      </c>
      <c r="H529" s="435">
        <f t="shared" si="44"/>
        <v>69.02924670839629</v>
      </c>
      <c r="I529" s="263">
        <f t="shared" si="45"/>
        <v>8.04559748427673</v>
      </c>
      <c r="J529" s="6"/>
    </row>
    <row r="530" spans="1:10" ht="19.5" customHeight="1">
      <c r="A530" s="550"/>
      <c r="B530" s="551"/>
      <c r="C530" s="544" t="s">
        <v>192</v>
      </c>
      <c r="D530" s="554"/>
      <c r="E530" s="156"/>
      <c r="F530" s="156"/>
      <c r="G530" s="156"/>
      <c r="H530" s="156"/>
      <c r="I530" s="309"/>
      <c r="J530" s="6"/>
    </row>
    <row r="531" spans="1:10" ht="8.25" customHeight="1">
      <c r="A531" s="550"/>
      <c r="B531" s="551"/>
      <c r="C531" s="555"/>
      <c r="D531" s="554"/>
      <c r="E531" s="157"/>
      <c r="F531" s="157"/>
      <c r="G531" s="157"/>
      <c r="H531" s="157"/>
      <c r="I531" s="310"/>
      <c r="J531" s="6"/>
    </row>
    <row r="532" spans="1:10" ht="12.75" customHeight="1">
      <c r="A532" s="550"/>
      <c r="B532" s="551"/>
      <c r="C532" s="90" t="s">
        <v>209</v>
      </c>
      <c r="D532" s="74" t="s">
        <v>98</v>
      </c>
      <c r="E532" s="292">
        <v>180000</v>
      </c>
      <c r="F532" s="292">
        <v>10000</v>
      </c>
      <c r="G532" s="292">
        <v>180000</v>
      </c>
      <c r="H532" s="291">
        <f>IF(E532&gt;0,G532/E532*100,0)</f>
        <v>100</v>
      </c>
      <c r="I532" s="293">
        <f>G532/$G$534*100</f>
        <v>1.1320754716981132</v>
      </c>
      <c r="J532" s="6"/>
    </row>
    <row r="533" spans="1:10" ht="25.5" customHeight="1">
      <c r="A533" s="550"/>
      <c r="B533" s="551"/>
      <c r="C533" s="546" t="s">
        <v>193</v>
      </c>
      <c r="D533" s="547"/>
      <c r="E533" s="60">
        <f>E532</f>
        <v>180000</v>
      </c>
      <c r="F533" s="60">
        <f>F532</f>
        <v>10000</v>
      </c>
      <c r="G533" s="60">
        <f>G532</f>
        <v>180000</v>
      </c>
      <c r="H533" s="435">
        <f>IF(E533&gt;0,G533/E533*100,0)</f>
        <v>100</v>
      </c>
      <c r="I533" s="263">
        <f>G533/$G$534*100</f>
        <v>1.1320754716981132</v>
      </c>
      <c r="J533" s="6"/>
    </row>
    <row r="534" spans="1:10" ht="24" customHeight="1" thickBot="1">
      <c r="A534" s="577" t="s">
        <v>219</v>
      </c>
      <c r="B534" s="578"/>
      <c r="C534" s="552" t="s">
        <v>228</v>
      </c>
      <c r="D534" s="553"/>
      <c r="E534" s="62">
        <f>E20+E37+E60+E71+E85+E103+E166+E178+E223+E261+E271+E289+E300+E323+E364+E393+E413+E437+E462+E472+E488+E529+E533</f>
        <v>15050000</v>
      </c>
      <c r="F534" s="62">
        <f>F20+F37+F60+F71+F85+F103+F166+F178+F223+F261+F271+F289+F300+F323+F364+F393+F413+F437+F462+F472+F488+F529+F533</f>
        <v>15740000</v>
      </c>
      <c r="G534" s="62">
        <f>G20+G37+G60+G71+G85+G103+G166+G178+G223+G261+G271+G289+G300+G323+G364+G393+G413+G437+G462+G472+G488+G529+G533</f>
        <v>15900000</v>
      </c>
      <c r="H534" s="436">
        <f>IF(E534&gt;0,G534/E534*100,0)</f>
        <v>105.64784053156147</v>
      </c>
      <c r="I534" s="264">
        <f>G534/$G$534*100</f>
        <v>100</v>
      </c>
      <c r="J534" s="9"/>
    </row>
    <row r="535" spans="1:10" ht="24" customHeight="1" thickTop="1">
      <c r="A535" s="196"/>
      <c r="B535" s="196"/>
      <c r="C535" s="204"/>
      <c r="D535" s="204"/>
      <c r="E535" s="205"/>
      <c r="F535" s="205"/>
      <c r="G535" s="205"/>
      <c r="H535" s="205"/>
      <c r="I535" s="206"/>
      <c r="J535" s="9"/>
    </row>
    <row r="536" spans="1:10" ht="12.75">
      <c r="A536" s="7"/>
      <c r="B536" s="6"/>
      <c r="C536" s="6"/>
      <c r="D536" s="179"/>
      <c r="E536" s="63"/>
      <c r="F536" s="516"/>
      <c r="G536" s="63"/>
      <c r="H536" s="63"/>
      <c r="I536" s="187"/>
      <c r="J536" s="6"/>
    </row>
  </sheetData>
  <sheetProtection/>
  <mergeCells count="98">
    <mergeCell ref="A179:B182"/>
    <mergeCell ref="A462:B462"/>
    <mergeCell ref="A532:B532"/>
    <mergeCell ref="A61:B63"/>
    <mergeCell ref="C71:D71"/>
    <mergeCell ref="A71:B71"/>
    <mergeCell ref="A364:B364"/>
    <mergeCell ref="C364:D364"/>
    <mergeCell ref="A438:B439"/>
    <mergeCell ref="C437:D437"/>
    <mergeCell ref="C489:D490"/>
    <mergeCell ref="A289:B289"/>
    <mergeCell ref="C413:D413"/>
    <mergeCell ref="C472:D472"/>
    <mergeCell ref="C463:D463"/>
    <mergeCell ref="A463:B463"/>
    <mergeCell ref="A393:B393"/>
    <mergeCell ref="C394:D396"/>
    <mergeCell ref="C289:D289"/>
    <mergeCell ref="A534:B534"/>
    <mergeCell ref="A529:B529"/>
    <mergeCell ref="A323:B323"/>
    <mergeCell ref="A414:B415"/>
    <mergeCell ref="A489:B490"/>
    <mergeCell ref="A72:B74"/>
    <mergeCell ref="A103:B103"/>
    <mergeCell ref="A472:B472"/>
    <mergeCell ref="A86:B88"/>
    <mergeCell ref="A223:B223"/>
    <mergeCell ref="A85:B85"/>
    <mergeCell ref="A1:I1"/>
    <mergeCell ref="A2:A3"/>
    <mergeCell ref="B2:C2"/>
    <mergeCell ref="D2:D3"/>
    <mergeCell ref="I2:I3"/>
    <mergeCell ref="H2:H3"/>
    <mergeCell ref="F2:F3"/>
    <mergeCell ref="G2:G3"/>
    <mergeCell ref="E2:E3"/>
    <mergeCell ref="C5:D7"/>
    <mergeCell ref="A21:B23"/>
    <mergeCell ref="C166:D166"/>
    <mergeCell ref="C21:D23"/>
    <mergeCell ref="C85:D85"/>
    <mergeCell ref="A224:B227"/>
    <mergeCell ref="A37:B37"/>
    <mergeCell ref="C38:D40"/>
    <mergeCell ref="A60:B60"/>
    <mergeCell ref="C179:D182"/>
    <mergeCell ref="A262:B264"/>
    <mergeCell ref="A271:B271"/>
    <mergeCell ref="C223:D223"/>
    <mergeCell ref="A5:B7"/>
    <mergeCell ref="A20:B20"/>
    <mergeCell ref="A166:B166"/>
    <mergeCell ref="C86:D88"/>
    <mergeCell ref="C104:D107"/>
    <mergeCell ref="C72:D74"/>
    <mergeCell ref="C61:D63"/>
    <mergeCell ref="C103:D103"/>
    <mergeCell ref="C365:D367"/>
    <mergeCell ref="C272:D273"/>
    <mergeCell ref="C393:D393"/>
    <mergeCell ref="C300:D300"/>
    <mergeCell ref="C290:D292"/>
    <mergeCell ref="C323:D323"/>
    <mergeCell ref="C271:D271"/>
    <mergeCell ref="C262:D264"/>
    <mergeCell ref="C488:D488"/>
    <mergeCell ref="C37:D37"/>
    <mergeCell ref="C167:D169"/>
    <mergeCell ref="C462:D462"/>
    <mergeCell ref="C530:D531"/>
    <mergeCell ref="A413:B413"/>
    <mergeCell ref="C438:D439"/>
    <mergeCell ref="C414:D415"/>
    <mergeCell ref="A488:B488"/>
    <mergeCell ref="A437:B437"/>
    <mergeCell ref="C20:D20"/>
    <mergeCell ref="C534:D534"/>
    <mergeCell ref="C324:D326"/>
    <mergeCell ref="A324:B326"/>
    <mergeCell ref="C473:D474"/>
    <mergeCell ref="A530:B531"/>
    <mergeCell ref="A394:B396"/>
    <mergeCell ref="C533:D533"/>
    <mergeCell ref="A533:B533"/>
    <mergeCell ref="C529:D529"/>
    <mergeCell ref="A301:B303"/>
    <mergeCell ref="C224:D227"/>
    <mergeCell ref="C178:D178"/>
    <mergeCell ref="C60:D60"/>
    <mergeCell ref="A104:B107"/>
    <mergeCell ref="C301:D303"/>
    <mergeCell ref="C261:D261"/>
    <mergeCell ref="A167:B169"/>
    <mergeCell ref="A261:B261"/>
    <mergeCell ref="A178:B178"/>
  </mergeCells>
  <printOptions horizontalCentered="1"/>
  <pageMargins left="0.15748031496062992" right="0.15748031496062992" top="0.35433070866141736" bottom="0.4330708661417323" header="0.31496062992125984" footer="0.2362204724409449"/>
  <pageSetup fitToHeight="12" horizontalDpi="600" verticalDpi="600" orientation="landscape" paperSize="9" r:id="rId1"/>
  <headerFooter alignWithMargins="0">
    <oddFooter>&amp;R&amp;P</oddFooter>
  </headerFooter>
  <rowBreaks count="20" manualBreakCount="20">
    <brk id="37" max="8" man="1"/>
    <brk id="66" max="8" man="1"/>
    <brk id="95" max="8" man="1"/>
    <brk id="123" max="8" man="1"/>
    <brk id="148" max="8" man="1"/>
    <brk id="175" max="8" man="1"/>
    <brk id="198" max="8" man="1"/>
    <brk id="222" max="8" man="1"/>
    <brk id="254" max="8" man="1"/>
    <brk id="280" max="8" man="1"/>
    <brk id="308" max="8" man="1"/>
    <brk id="334" max="8" man="1"/>
    <brk id="362" max="8" man="1"/>
    <brk id="385" max="8" man="1"/>
    <brk id="409" max="8" man="1"/>
    <brk id="437" max="8" man="1"/>
    <brk id="462" max="8" man="1"/>
    <brk id="488" max="8" man="1"/>
    <brk id="518" max="8" man="1"/>
    <brk id="534" max="13" man="1"/>
  </rowBreaks>
  <colBreaks count="1" manualBreakCount="1">
    <brk id="9" max="50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7.28125" style="0" customWidth="1"/>
    <col min="2" max="2" width="46.421875" style="0" customWidth="1"/>
    <col min="3" max="3" width="20.00390625" style="0" customWidth="1"/>
    <col min="4" max="4" width="18.7109375" style="0" customWidth="1"/>
    <col min="5" max="5" width="19.57421875" style="0" customWidth="1"/>
    <col min="6" max="6" width="12.421875" style="0" customWidth="1"/>
    <col min="7" max="7" width="10.8515625" style="0" customWidth="1"/>
    <col min="8" max="9" width="13.7109375" style="0" customWidth="1"/>
    <col min="10" max="10" width="14.140625" style="0" customWidth="1"/>
    <col min="11" max="11" width="13.7109375" style="0" customWidth="1"/>
    <col min="12" max="12" width="13.8515625" style="0" customWidth="1"/>
    <col min="13" max="13" width="14.7109375" style="0" customWidth="1"/>
  </cols>
  <sheetData>
    <row r="1" spans="1:7" ht="43.5" customHeight="1">
      <c r="A1" s="591" t="s">
        <v>532</v>
      </c>
      <c r="B1" s="592"/>
      <c r="C1" s="592"/>
      <c r="D1" s="592"/>
      <c r="E1" s="592"/>
      <c r="F1" s="592"/>
      <c r="G1" s="592"/>
    </row>
    <row r="2" spans="1:7" ht="16.5" customHeight="1" thickBot="1">
      <c r="A2" s="593" t="s">
        <v>456</v>
      </c>
      <c r="B2" s="594"/>
      <c r="C2" s="347"/>
      <c r="D2" s="347"/>
      <c r="E2" s="347"/>
      <c r="F2" s="347"/>
      <c r="G2" s="347"/>
    </row>
    <row r="3" spans="1:7" ht="74.25" customHeight="1" thickTop="1">
      <c r="A3" s="111" t="s">
        <v>237</v>
      </c>
      <c r="B3" s="97" t="s">
        <v>238</v>
      </c>
      <c r="C3" s="119" t="s">
        <v>489</v>
      </c>
      <c r="D3" s="119" t="s">
        <v>536</v>
      </c>
      <c r="E3" s="119" t="s">
        <v>553</v>
      </c>
      <c r="F3" s="119" t="s">
        <v>113</v>
      </c>
      <c r="G3" s="121" t="s">
        <v>125</v>
      </c>
    </row>
    <row r="4" spans="1:7" ht="15" customHeight="1">
      <c r="A4" s="130">
        <v>1</v>
      </c>
      <c r="B4" s="21">
        <v>2</v>
      </c>
      <c r="C4" s="163" t="s">
        <v>519</v>
      </c>
      <c r="D4" s="163" t="s">
        <v>354</v>
      </c>
      <c r="E4" s="163" t="s">
        <v>538</v>
      </c>
      <c r="F4" s="163" t="s">
        <v>539</v>
      </c>
      <c r="G4" s="131">
        <v>7</v>
      </c>
    </row>
    <row r="5" spans="1:9" ht="14.25">
      <c r="A5" s="112" t="s">
        <v>60</v>
      </c>
      <c r="B5" s="113" t="s">
        <v>69</v>
      </c>
      <c r="C5" s="164">
        <f>SUM(SUMIF(Org!$A$8:Org!$A$532," 0111",Org!E$8:Org!E$532),SUMIF(Org!$A$10:Org!$A$532," 0160",Org!E$10:Org!E$533),SUMIF(Org!$A$10:Org!$A$532," 0180",Org!E$10:Org!E$533),SUMIF(Org!$A$10:Org!$A$532,"0170 ",Org!E$10:Org!E$532))-'B.pr. i prim. za nef. im.'!D90-'B.pr. i prim. za nef. im.'!D92</f>
        <v>4540000</v>
      </c>
      <c r="D5" s="164">
        <f>SUM(SUMIF(Org!$A$8:Org!$A$532," 0111",Org!F$8:Org!F$532),SUMIF(Org!$A$10:Org!$A$532," 0160",Org!F$10:Org!F$533),SUMIF(Org!$A$10:Org!$A$532," 0180",Org!F$10:Org!F$533),SUMIF(Org!$A$10:Org!$A$532,"0170 ",Org!F$10:Org!F$532))-'B.pr. i prim. za nef. im.'!E90-'B.pr. i prim. za nef. im.'!E92</f>
        <v>4725863</v>
      </c>
      <c r="E5" s="164">
        <f>SUM(SUMIF(Org!$A$8:Org!$A$532," 0111",Org!G$8:Org!G$532),SUMIF(Org!$A$10:Org!$A$532," 0160",Org!G$10:Org!G$533),SUMIF(Org!$A$10:Org!$A$532," 0180",Org!G$10:Org!G$533),SUMIF(Org!$A$10:Org!$A$532,"0170 ",Org!G$10:Org!G$532))-'B.pr. i prim. za nef. im.'!F90-'B.pr. i prim. za nef. im.'!F92</f>
        <v>4757300</v>
      </c>
      <c r="F5" s="164">
        <f>E5/C5*100</f>
        <v>104.7863436123348</v>
      </c>
      <c r="G5" s="114">
        <f>E5/$E$15*100</f>
        <v>33.70612970763175</v>
      </c>
      <c r="I5" s="1"/>
    </row>
    <row r="6" spans="1:9" ht="14.25">
      <c r="A6" s="112" t="s">
        <v>61</v>
      </c>
      <c r="B6" s="115" t="s">
        <v>70</v>
      </c>
      <c r="C6" s="164">
        <f>SUM(SUMIF(Org!$A$10:Org!$A$533,"02",Org!E$10:Org!E$533))</f>
        <v>0</v>
      </c>
      <c r="D6" s="164">
        <f>SUM(SUMIF(Org!$A$10:Org!$A$533,"02",Org!F$10:Org!F$533))</f>
        <v>0</v>
      </c>
      <c r="E6" s="164">
        <f>SUM(SUMIF(Org!$A$10:Org!$A$533,"02",Org!G$10:Org!G$533))</f>
        <v>0</v>
      </c>
      <c r="F6" s="164">
        <v>0</v>
      </c>
      <c r="G6" s="114">
        <f aca="true" t="shared" si="0" ref="G6:G15">E6/$E$15*100</f>
        <v>0</v>
      </c>
      <c r="I6" s="1"/>
    </row>
    <row r="7" spans="1:9" ht="14.25">
      <c r="A7" s="112" t="s">
        <v>62</v>
      </c>
      <c r="B7" s="113" t="s">
        <v>71</v>
      </c>
      <c r="C7" s="164">
        <f>SUM(SUMIF(Org!$A$10:Org!$A$532," 0320",Org!E$10:Org!E$533))</f>
        <v>568100</v>
      </c>
      <c r="D7" s="164">
        <f>SUM(SUMIF(Org!$A$10:Org!$A$532," 0320",Org!F$10:Org!F$533),SUMIF(Org!$A$10:Org!$A$532,"0350",Org!$F$10:Org!$F$532))</f>
        <v>566508</v>
      </c>
      <c r="E7" s="164">
        <f>SUM(SUMIF(Org!$A$10:Org!$A$532," 0320",Org!G$10:Org!G$533),SUMIF(Org!$A$10:Org!$A$532,"0350",Org!$G$10:Org!$G$532))</f>
        <v>235700</v>
      </c>
      <c r="F7" s="164">
        <f aca="true" t="shared" si="1" ref="F7:F15">E7/C7*100</f>
        <v>41.489174441119516</v>
      </c>
      <c r="G7" s="114">
        <f t="shared" si="0"/>
        <v>1.669967160382739</v>
      </c>
      <c r="I7" s="1"/>
    </row>
    <row r="8" spans="1:9" ht="14.25">
      <c r="A8" s="112" t="s">
        <v>63</v>
      </c>
      <c r="B8" s="116" t="s">
        <v>72</v>
      </c>
      <c r="C8" s="164">
        <f>SUM(SUMIF(Org!$A$10:Org!$A$532," 0412",Org!E$10:Org!E$532),SUMIF(Org!$A$10:Org!$A$532," 0421",Org!E$10:Org!E$532),SUMIF(Org!$A$10:Org!$A$532," 0422",Org!E$10:Org!E$532),SUMIF(Org!$A$10:Org!$A$532," 0442",Org!E$10:Org!E$532),SUMIF(Org!$A$10:Org!$A$532," 0451",Org!E$10:Org!E$533),SUMIF(Org!$A$10:Org!$A$532," 0473",Org!E$10:Org!E$533),SUMIF(Org!$A$10:Org!$A$532,"0474 ",Org!E$10:Org!E$532),SUMIF(Org!$A$10:Org!$A$532,"0490 ",Org!E$10:Org!E$532))</f>
        <v>1021000</v>
      </c>
      <c r="D8" s="164">
        <f>SUM(SUMIF(Org!$A$10:Org!$A$532," 0412",Org!F$10:Org!F$532),SUMIF(Org!$A$10:Org!$A$532," 0421",Org!F$10:Org!F$532),SUMIF(Org!$A$10:Org!$A$532," 0422",Org!F$10:Org!F$532),SUMIF(Org!$A$10:Org!$A$532," 0442",Org!F$10:Org!F$532),SUMIF(Org!$A$10:Org!$A$532," 0451",Org!F$10:Org!F$533),SUMIF(Org!$A$10:Org!$A$532," 0473",Org!F$10:Org!F$533),SUMIF(Org!$A$10:Org!$A$532,"0474 ",Org!F$10:Org!F$532),SUMIF(Org!$A$10:Org!$A$532,"0490 ",Org!F$10:Org!F$532))</f>
        <v>1043803</v>
      </c>
      <c r="E8" s="164">
        <f>SUM(SUMIF(Org!$A$10:Org!$A$532," 0412",Org!G$10:Org!G$532),SUMIF(Org!$A$10:Org!$A$532," 0421",Org!G$10:Org!G$532),SUMIF(Org!$A$10:Org!$A$532," 0422",Org!G$10:Org!G$532),SUMIF(Org!$A$10:Org!$A$532," 0442",Org!G$10:Org!G$532),SUMIF(Org!$A$10:Org!$A$532," 0451",Org!G$10:Org!G$533),SUMIF(Org!$A$10:Org!$A$532," 0473",Org!G$10:Org!G$533),SUMIF(Org!$A$10:Org!$A$532,"0474 ",Org!G$10:Org!G$532),SUMIF(Org!$A$10:Org!$A$532,"0490 ",Org!G$10:Org!G$532))</f>
        <v>1172700</v>
      </c>
      <c r="F8" s="164">
        <f t="shared" si="1"/>
        <v>114.85798237022526</v>
      </c>
      <c r="G8" s="114">
        <f t="shared" si="0"/>
        <v>8.308741998221631</v>
      </c>
      <c r="H8" s="1"/>
      <c r="I8" s="1"/>
    </row>
    <row r="9" spans="1:9" ht="14.25">
      <c r="A9" s="112" t="s">
        <v>64</v>
      </c>
      <c r="B9" s="116" t="s">
        <v>73</v>
      </c>
      <c r="C9" s="164">
        <f>SUM(SUMIF(Org!$A$10:Org!$A$532," 0520",Org!E$10:Org!E$532))</f>
        <v>0</v>
      </c>
      <c r="D9" s="164">
        <f>SUM(SUMIF(Org!$A$10:Org!$A$532," 0520",Org!F$10:Org!F$532))</f>
        <v>0</v>
      </c>
      <c r="E9" s="164">
        <f>SUM(SUMIF(Org!$A$10:Org!$A$532," 0510",Org!G$10:Org!G$532))</f>
        <v>100000</v>
      </c>
      <c r="F9" s="164">
        <v>0</v>
      </c>
      <c r="G9" s="114">
        <f t="shared" si="0"/>
        <v>0.7085138567597536</v>
      </c>
      <c r="I9" s="1"/>
    </row>
    <row r="10" spans="1:9" ht="14.25">
      <c r="A10" s="112" t="s">
        <v>65</v>
      </c>
      <c r="B10" s="116" t="s">
        <v>74</v>
      </c>
      <c r="C10" s="164">
        <f>SUM(SUMIF(Org!$A$10:Org!$A$532,"0610 ",Org!E$10:Org!E$532),SUMIF(Org!$A$10:Org!$A$532,"0630 ",Org!E$10:Org!E$532),SUMIF(Org!$A$10:Org!$A$532,"0620",Org!E$10:Org!E$532),SUMIF(Org!$A$10:Org!$A$532,"0660",Org!E$10:Org!E$532))</f>
        <v>1561000</v>
      </c>
      <c r="D10" s="164">
        <f>SUM(SUMIF(Org!$A$10:Org!$A$532,"0610 ",Org!F$10:Org!F$532),SUMIF(Org!$A$10:Org!$A$532,"0630 ",Org!F$10:Org!F$532),SUMIF(Org!$A$10:Org!$A$532,"0620",Org!F$10:Org!F$532),SUMIF(Org!$A$10:Org!$A$532,"0660",Org!F$10:Org!F$532))</f>
        <v>1904810</v>
      </c>
      <c r="E10" s="164">
        <f>SUM(SUMIF(Org!$A$10:Org!$A$532,"0610 ",Org!G$10:Org!G$532),SUMIF(Org!$A$10:Org!$A$532,"0630 ",Org!G$10:Org!G$532),SUMIF(Org!$A$10:Org!$A$532,"0620",Org!G$10:Org!G$532),SUMIF(Org!$A$10:Org!$A$532,"0660",Org!G$10:Org!G$532))</f>
        <v>2299000</v>
      </c>
      <c r="F10" s="164">
        <f t="shared" si="1"/>
        <v>147.2773862908392</v>
      </c>
      <c r="G10" s="114">
        <f t="shared" si="0"/>
        <v>16.288733566906735</v>
      </c>
      <c r="I10" s="1"/>
    </row>
    <row r="11" spans="1:9" ht="14.25">
      <c r="A11" s="112" t="s">
        <v>66</v>
      </c>
      <c r="B11" s="117" t="s">
        <v>75</v>
      </c>
      <c r="C11" s="164">
        <f>SUM(SUMIF(Org!$A$10:Org!$A$532,"0740",Org!E$10:Org!E$532),SUMIF(Org!$A$10:Org!$A$532,"0734",Org!E$10:Org!E$532))</f>
        <v>179800</v>
      </c>
      <c r="D11" s="164">
        <f>SUM(SUMIF(Org!$A$10:Org!$A$532,"0740",Org!F$10:Org!F$532),SUMIF(Org!$A$10:Org!$A$532,"0734",Org!F$10:Org!F$532))</f>
        <v>167662</v>
      </c>
      <c r="E11" s="164">
        <f>SUM(SUMIF(Org!$A$10:Org!$A$532,"0740",Org!G$10:Org!G$532),SUMIF(Org!$A$10:Org!$A$532,"0734",Org!G$10:Org!G$532))</f>
        <v>182800</v>
      </c>
      <c r="F11" s="164">
        <f t="shared" si="1"/>
        <v>101.66852057842047</v>
      </c>
      <c r="G11" s="114">
        <f t="shared" si="0"/>
        <v>1.2951633301568295</v>
      </c>
      <c r="I11" s="1"/>
    </row>
    <row r="12" spans="1:9" ht="14.25">
      <c r="A12" s="112" t="s">
        <v>67</v>
      </c>
      <c r="B12" s="117" t="s">
        <v>76</v>
      </c>
      <c r="C12" s="164">
        <f>SUM(SUMIF(Org!$A$10:Org!$A$532,"0810",Org!E$10:E$533),SUMIF(Org!$A$10:Org!$A$533,"0820",Org!E$10:Org!E$533),SUMIF(Org!$A$10:Org!$A$533,"0830",Org!E$10:Org!E$533),SUMIF(Org!$A$10:Org!$A$532,"0840",Org!E$10:Org!E$533),SUMIF(Org!$A$10:Org!$A$532,"0860",Org!E$10:Org!E$533))-'B.pr. i prim. za nef. im.'!D95</f>
        <v>857600</v>
      </c>
      <c r="D12" s="164">
        <f>SUM(SUMIF(Org!$A$10:Org!$A$532,"0810",Org!F$10:F$533),SUMIF(Org!$A$10:Org!$A$533,"0820",Org!F$10:Org!F$533),SUMIF(Org!$A$10:Org!$A$533,"0830",Org!F$10:Org!F$533),SUMIF(Org!$A$10:Org!$A$532,"0840",Org!F$10:Org!F$533),SUMIF(Org!$A$10:Org!$A$532,"0860",Org!F$10:Org!F$533))-'B.pr. i prim. za nef. im.'!E95</f>
        <v>995152</v>
      </c>
      <c r="E12" s="164">
        <f>SUM(SUMIF(Org!$A$10:Org!$A$532,"0810",Org!G$10:G$533),SUMIF(Org!$A$10:Org!$A$533,"0820",Org!G$10:Org!G$533),SUMIF(Org!$A$10:Org!$A$533,"0830",Org!G$10:Org!G$533),SUMIF(Org!$A$10:Org!$A$532,"0840",Org!G$10:Org!G$533),SUMIF(Org!$A$10:Org!$A$532,"0860",Org!G$10:Org!G$533))-'B.pr. i prim. za nef. im.'!F95</f>
        <v>925500</v>
      </c>
      <c r="F12" s="164">
        <f t="shared" si="1"/>
        <v>107.91744402985076</v>
      </c>
      <c r="G12" s="114">
        <f t="shared" si="0"/>
        <v>6.55729574431152</v>
      </c>
      <c r="I12" s="1"/>
    </row>
    <row r="13" spans="1:9" ht="14.25">
      <c r="A13" s="112" t="s">
        <v>68</v>
      </c>
      <c r="B13" s="116" t="s">
        <v>77</v>
      </c>
      <c r="C13" s="164">
        <f>SUM(SUMIF(Org!$A$10:Org!$A$532,"0912",Org!E$10:Org!E$533),SUMIF(Org!$A$10:Org!$A$532,"0911",Org!E$10:Org!E$533),SUMIF(Org!$A$10:Org!$A$532,"0941",Org!E$10:Org!E$533),SUMIF(Org!$A$10:Org!$A$532,"0942",Org!E$10:Org!E$533),SUMIF(Org!$A$10:Org!$A$532,"0922",Org!E$10:Org!E$533),SUMIF(Org!$A$10:Org!$A$532,"0921",Org!E$10:Org!E$533))</f>
        <v>1237700</v>
      </c>
      <c r="D13" s="164">
        <f>SUM(SUMIF(Org!$A$10:Org!$A$532,"0912",Org!F$10:Org!F$533),SUMIF(Org!$A$10:Org!$A$532,"0911",Org!F$10:Org!F$533),SUMIF(Org!$A$10:Org!$A$532,"0941",Org!F$10:Org!F$533),SUMIF(Org!$A$10:Org!$A$532,"0942",Org!F$10:Org!F$533),SUMIF(Org!$A$10:Org!$A$532,"0922",Org!F$10:Org!F$533),SUMIF(Org!$A$10:Org!$A$532,"0921",Org!F$10:Org!F$533))</f>
        <v>1188982</v>
      </c>
      <c r="E13" s="164">
        <f>SUM(SUMIF(Org!$A$10:Org!$A$532,"0912",Org!G$10:Org!G$533),SUMIF(Org!$A$10:Org!$A$532,"0911",Org!G$10:Org!G$533),SUMIF(Org!$A$10:Org!$A$532,"0941",Org!G$10:Org!G$533),SUMIF(Org!$A$10:Org!$A$532,"0942",Org!G$10:Org!G$533),SUMIF(Org!$A$10:Org!$A$532,"0922",Org!G$10:Org!G$533),SUMIF(Org!$A$10:Org!$A$532,"0921",Org!G$10:Org!G$533))</f>
        <v>1249600</v>
      </c>
      <c r="F13" s="164">
        <f t="shared" si="1"/>
        <v>100.96146077401633</v>
      </c>
      <c r="G13" s="114">
        <f t="shared" si="0"/>
        <v>8.853589154069882</v>
      </c>
      <c r="I13" s="278"/>
    </row>
    <row r="14" spans="1:9" ht="14.25">
      <c r="A14" s="118">
        <v>10</v>
      </c>
      <c r="B14" s="116" t="s">
        <v>78</v>
      </c>
      <c r="C14" s="164">
        <f>SUM(SUMIF(Org!$A$10:Org!$A$533,"1020",Org!E$10:Org!E$533),SUMIF(Org!$A$10:Org!$A$533,"1090",Org!E$10:Org!E$533),SUMIF(Org!$A$10:Org!$A$533,"1040",Org!E$10:Org!E$533))</f>
        <v>3023800</v>
      </c>
      <c r="D14" s="164">
        <f>SUM(SUMIF(Org!$A$10:Org!$A$533,"1020",Org!F$10:Org!F$533),SUMIF(Org!$A$10:Org!$A$533,"1090",Org!F$10:Org!F$533),SUMIF(Org!$A$10:Org!$A$533,"1040",Org!F$10:Org!F$533))</f>
        <v>3265970</v>
      </c>
      <c r="E14" s="164">
        <f>SUM(SUMIF(Org!$A$10:Org!$A$533,"1020",Org!G$10:Org!G$533),SUMIF(Org!$A$10:Org!$A$533,"1090",Org!G$10:Org!G$533),SUMIF(Org!$A$10:Org!$A$533,"1040",Org!G$10:Org!G$533))</f>
        <v>3191450</v>
      </c>
      <c r="F14" s="164">
        <f t="shared" si="1"/>
        <v>105.54434817117536</v>
      </c>
      <c r="G14" s="114">
        <f t="shared" si="0"/>
        <v>22.611865481559157</v>
      </c>
      <c r="I14" s="1"/>
    </row>
    <row r="15" spans="1:9" ht="22.5" customHeight="1" thickBot="1">
      <c r="A15" s="165"/>
      <c r="B15" s="202" t="s">
        <v>394</v>
      </c>
      <c r="C15" s="203">
        <f>SUM(C5:C14)</f>
        <v>12989000</v>
      </c>
      <c r="D15" s="203">
        <f>SUM(D5:D14)</f>
        <v>13858750</v>
      </c>
      <c r="E15" s="203">
        <f>SUM(E5:E14)</f>
        <v>14114050</v>
      </c>
      <c r="F15" s="203">
        <f t="shared" si="1"/>
        <v>108.66155978135346</v>
      </c>
      <c r="G15" s="344">
        <f t="shared" si="0"/>
        <v>100</v>
      </c>
      <c r="I15" s="1"/>
    </row>
    <row r="16" spans="3:7" ht="13.5" thickTop="1">
      <c r="C16" s="1"/>
      <c r="D16" s="1"/>
      <c r="E16" s="1"/>
      <c r="F16" s="1"/>
      <c r="G16" s="1"/>
    </row>
    <row r="17" spans="1:2" ht="17.25" customHeight="1" thickBot="1">
      <c r="A17" s="595" t="s">
        <v>462</v>
      </c>
      <c r="B17" s="595"/>
    </row>
    <row r="18" spans="1:7" ht="72" customHeight="1" thickTop="1">
      <c r="A18" s="348" t="s">
        <v>237</v>
      </c>
      <c r="B18" s="349" t="s">
        <v>457</v>
      </c>
      <c r="C18" s="350" t="s">
        <v>489</v>
      </c>
      <c r="D18" s="350" t="s">
        <v>536</v>
      </c>
      <c r="E18" s="350" t="s">
        <v>553</v>
      </c>
      <c r="F18" s="350" t="s">
        <v>113</v>
      </c>
      <c r="G18" s="351" t="s">
        <v>125</v>
      </c>
    </row>
    <row r="19" spans="1:7" ht="14.25" customHeight="1" thickBot="1">
      <c r="A19" s="352">
        <v>1</v>
      </c>
      <c r="B19" s="353">
        <v>2</v>
      </c>
      <c r="C19" s="353">
        <v>3</v>
      </c>
      <c r="D19" s="353">
        <v>4</v>
      </c>
      <c r="E19" s="353">
        <v>5</v>
      </c>
      <c r="F19" s="353" t="s">
        <v>539</v>
      </c>
      <c r="G19" s="354">
        <v>7</v>
      </c>
    </row>
    <row r="20" spans="1:7" ht="12.75">
      <c r="A20" s="355" t="s">
        <v>458</v>
      </c>
      <c r="B20" s="356" t="s">
        <v>459</v>
      </c>
      <c r="C20" s="357">
        <f>C15-C21</f>
        <v>11028200</v>
      </c>
      <c r="D20" s="357">
        <f>D15-D21</f>
        <v>11815464</v>
      </c>
      <c r="E20" s="357">
        <f>E15-E21</f>
        <v>12075450</v>
      </c>
      <c r="F20" s="357">
        <f>E20/C20*100</f>
        <v>109.49610997261566</v>
      </c>
      <c r="G20" s="358">
        <f>E20/$E$22*100</f>
        <v>85.55623651609567</v>
      </c>
    </row>
    <row r="21" spans="1:7" ht="13.5" thickBot="1">
      <c r="A21" s="359" t="s">
        <v>460</v>
      </c>
      <c r="B21" s="360" t="s">
        <v>461</v>
      </c>
      <c r="C21" s="396">
        <f>SUM(SUMIF(Org!$A$10:Org!$A$533,"0734",Org!E$10:Org!E$533),SUMIF(Org!$A$10:Org!$A$533,"0740",Org!E$10:Org!E$533),SUMIF(Org!$A$10:Org!$A$533,"0810",Org!E$10:Org!E$533),SUMIF(Org!$A$10:Org!$A$533,"0820",Org!E$10:Org!E$533),SUMIF(Org!$A$10:Org!$A$533,"0911",Org!E$10:Org!E$533),SUMIF(Org!$A$10:Org!$A$533,"0912",Org!E$10:Org!E$533),SUMIF(Org!$A$10:Org!$A$533,"0921",Org!E$10:Org!E$533),SUMIF(Org!$A$10:Org!$A$533,"0922",Org!E$10:Org!E$533),SUMIF(Org!$A$10:Org!$A$533,"0941",Org!E$10:Org!E$533),SUMIF(Org!$A$10:Org!$A$533,"1040",Org!E$10:Org!E$533))-'B.pr. i prim. za nef. im.'!D94</f>
        <v>1960800</v>
      </c>
      <c r="D21" s="396">
        <f>SUM(SUMIF(Org!$A$10:Org!$A$533,"0734",Org!F$10:Org!F$533),SUMIF(Org!$A$10:Org!$A$533,"0740",Org!F$10:Org!F$533),SUMIF(Org!$A$10:Org!$A$533,"0810",Org!F$10:Org!F$533),SUMIF(Org!$A$10:Org!$A$533,"0820",Org!F$10:Org!F$533),SUMIF(Org!$A$10:Org!$A$533,"0911",Org!F$10:Org!F$533),SUMIF(Org!$A$10:Org!$A$533,"0912",Org!F$10:Org!F$533),SUMIF(Org!$A$10:Org!$A$533,"0921",Org!F$10:Org!F$533),SUMIF(Org!$A$10:Org!$A$533,"0922",Org!F$10:Org!F$533),SUMIF(Org!$A$10:Org!$A$533,"0941",Org!F$10:Org!F$533),SUMIF(Org!$A$10:Org!$A$533,"1020",Org!F$10:Org!F$533),SUMIF(Org!$A$10:Org!$A$533,"1040",Org!F$10:Org!F$533))-'B.pr. i prim. za nef. im.'!E94</f>
        <v>2043286</v>
      </c>
      <c r="E21" s="396">
        <f>SUM(SUMIF(Org!$A$10:Org!$A$533,"0734",Org!G$10:Org!G$533),SUMIF(Org!$A$10:Org!$A$533,"0740",Org!G$10:Org!G$533),SUMIF(Org!$A$10:Org!$A$533,"0810",Org!G$10:Org!G$533),SUMIF(Org!$A$10:Org!$A$533,"0820",Org!G$10:Org!G$533),SUMIF(Org!$A$10:Org!$A$533,"0911",Org!G$10:Org!G$533),SUMIF(Org!$A$10:Org!$A$533,"0912",Org!G$10:Org!G$533),SUMIF(Org!$A$10:Org!$A$533,"0921",Org!G$10:Org!G$533),SUMIF(Org!$A$10:Org!$A$533,"0922",Org!G$10:Org!G$533),SUMIF(Org!$A$10:Org!$A$533,"0941",Org!G$10:Org!G$533),SUMIF(Org!$A$10:Org!$A$533,"1020",Org!G$10:Org!G$533),SUMIF(Org!$A$10:Org!$A$533,"1040",Org!G$10:Org!G$533))-'B.pr. i prim. za nef. im.'!F94</f>
        <v>2038600</v>
      </c>
      <c r="F21" s="387">
        <f>E21/C21*100</f>
        <v>103.96776825785395</v>
      </c>
      <c r="G21" s="361">
        <f>E21/$E$22*100</f>
        <v>14.443763483904338</v>
      </c>
    </row>
    <row r="22" spans="1:7" ht="20.25" customHeight="1" thickBot="1">
      <c r="A22" s="165"/>
      <c r="B22" s="202" t="s">
        <v>394</v>
      </c>
      <c r="C22" s="362">
        <f>SUM(C20:C21)</f>
        <v>12989000</v>
      </c>
      <c r="D22" s="362">
        <f>SUM(D20:D21)</f>
        <v>13858750</v>
      </c>
      <c r="E22" s="362">
        <f>SUM(E20:E21)</f>
        <v>14114050</v>
      </c>
      <c r="F22" s="362">
        <f>E22/C22*100</f>
        <v>108.66155978135346</v>
      </c>
      <c r="G22" s="363">
        <f>E22/$E$22*100</f>
        <v>100</v>
      </c>
    </row>
    <row r="23" spans="1:7" ht="13.5" thickTop="1">
      <c r="A23" s="167"/>
      <c r="B23" s="167"/>
      <c r="C23" s="167"/>
      <c r="D23" s="167"/>
      <c r="E23" s="167"/>
      <c r="F23" s="167"/>
      <c r="G23" s="167"/>
    </row>
    <row r="24" spans="1:7" ht="12.75">
      <c r="A24" s="167"/>
      <c r="B24" s="201"/>
      <c r="C24" s="392"/>
      <c r="D24" s="392"/>
      <c r="E24" s="392"/>
      <c r="F24" s="167"/>
      <c r="G24" s="167"/>
    </row>
    <row r="25" spans="1:7" ht="12.75">
      <c r="A25" s="167"/>
      <c r="B25" s="201"/>
      <c r="C25" s="392"/>
      <c r="D25" s="392"/>
      <c r="E25" s="392"/>
      <c r="F25" s="392"/>
      <c r="G25" s="167"/>
    </row>
    <row r="26" spans="1:7" ht="12.75">
      <c r="A26" s="167"/>
      <c r="B26" s="219"/>
      <c r="C26" s="392"/>
      <c r="D26" s="392"/>
      <c r="E26" s="392"/>
      <c r="F26" s="392"/>
      <c r="G26" s="167"/>
    </row>
    <row r="27" spans="1:7" ht="12.75">
      <c r="A27" s="167"/>
      <c r="B27" s="201"/>
      <c r="C27" s="201"/>
      <c r="D27" s="201"/>
      <c r="E27" s="201"/>
      <c r="F27" s="201"/>
      <c r="G27" s="167"/>
    </row>
    <row r="28" spans="2:5" ht="12.75">
      <c r="B28" s="393"/>
      <c r="C28" s="429"/>
      <c r="D28" s="429"/>
      <c r="E28" s="429"/>
    </row>
    <row r="29" spans="2:5" ht="12.75">
      <c r="B29" s="393"/>
      <c r="C29" s="52"/>
      <c r="D29" s="52"/>
      <c r="E29" s="52"/>
    </row>
  </sheetData>
  <sheetProtection/>
  <mergeCells count="3">
    <mergeCell ref="A1:G1"/>
    <mergeCell ref="A2:B2"/>
    <mergeCell ref="A17:B17"/>
  </mergeCells>
  <printOptions horizontalCentered="1"/>
  <pageMargins left="0.15748031496062992" right="0.15748031496062992" top="0.5511811023622047" bottom="0.5118110236220472" header="0.5118110236220472" footer="0.31496062992125984"/>
  <pageSetup horizontalDpi="600" verticalDpi="600" orientation="landscape" paperSize="9" r:id="rId1"/>
  <headerFooter alignWithMargins="0">
    <oddFooter>&amp;R&amp;P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korisnik</cp:lastModifiedBy>
  <cp:lastPrinted>2019-12-24T07:35:16Z</cp:lastPrinted>
  <dcterms:created xsi:type="dcterms:W3CDTF">2006-03-15T13:27:57Z</dcterms:created>
  <dcterms:modified xsi:type="dcterms:W3CDTF">2020-06-23T05:46:11Z</dcterms:modified>
  <cp:category/>
  <cp:version/>
  <cp:contentType/>
  <cp:contentStatus/>
</cp:coreProperties>
</file>