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im.'!$A$1:$I$100</definedName>
    <definedName name="_xlnm.Print_Area" localSheetId="3">'B.rash. i izdaci za nef. im.'!$A$1:$N$63</definedName>
    <definedName name="_xlnm.Print_Area" localSheetId="4">'Finansiranje'!$A$1:$D$39</definedName>
    <definedName name="_xlnm.Print_Area" localSheetId="6">'Funkc. kl.'!$A$1:$H$29</definedName>
    <definedName name="_xlnm.Print_Area" localSheetId="1">'opsti dio'!$A$1:$E$66</definedName>
    <definedName name="_xlnm.Print_Area" localSheetId="5">'Org'!$A$1:$L$506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<sst xmlns="http://schemas.openxmlformats.org/spreadsheetml/2006/main" count="1091" uniqueCount="572">
  <si>
    <t>Трошкови репрезентације</t>
  </si>
  <si>
    <t>Помоћи појединцима</t>
  </si>
  <si>
    <t>Набавка опреме</t>
  </si>
  <si>
    <t>Накнаде трошкова запослених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</si>
  <si>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</si>
  <si>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</si>
  <si>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</si>
  <si>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</si>
  <si>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</si>
  <si>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</si>
  <si>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промет производа</t>
  </si>
  <si>
    <t>Порез на промет услуга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</si>
  <si>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</si>
  <si>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</si>
  <si>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</si>
  <si>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</si>
  <si>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</si>
  <si>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</si>
  <si>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</si>
  <si>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</si>
  <si>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</si>
  <si>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</si>
  <si>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>Приходи од пружања јавних услуга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</si>
  <si>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</si>
  <si>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</si>
  <si>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</si>
  <si>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</si>
  <si>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</si>
  <si>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</si>
  <si>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</si>
  <si>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Бруто плате запослених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</si>
  <si>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</si>
  <si>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</si>
  <si>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</si>
  <si>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</si>
  <si>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</si>
  <si>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</si>
  <si>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</si>
  <si>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</si>
  <si>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</si>
  <si>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</si>
  <si>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</si>
  <si>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</si>
  <si>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</si>
  <si>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</si>
  <si>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</si>
  <si>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</si>
  <si>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</si>
  <si>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</si>
  <si>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</si>
  <si>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</si>
  <si>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</si>
  <si>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</si>
  <si>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</si>
  <si>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</si>
  <si>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</si>
  <si>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</si>
  <si>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</si>
  <si>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</si>
  <si>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</si>
  <si>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</si>
  <si>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Набавка грађевинских објеката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</si>
  <si>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</si>
  <si>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</si>
  <si>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</si>
  <si>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</si>
  <si>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</si>
  <si>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</si>
  <si>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</si>
  <si>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</si>
  <si>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</si>
  <si>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</si>
  <si>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</si>
  <si>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</si>
  <si>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</si>
  <si>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</si>
  <si>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</si>
  <si>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</si>
  <si>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</si>
  <si>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</si>
  <si>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</si>
  <si>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</si>
  <si>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</si>
  <si>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</si>
  <si>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</si>
  <si>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</si>
  <si>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</si>
  <si>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</si>
  <si>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</si>
  <si>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</si>
  <si>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</si>
  <si>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</si>
  <si>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</si>
  <si>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</si>
  <si>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</si>
  <si>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</si>
  <si>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</si>
  <si>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Манифестације поводом обиљежавања Светог Саве (Светосавски бал и школска слава)</t>
  </si>
  <si>
    <t>ЈЗУ Дом здравља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</si>
  <si>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</si>
  <si>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</si>
  <si>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</si>
  <si>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</si>
  <si>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</si>
  <si>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</si>
  <si>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</si>
  <si>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</si>
  <si>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</si>
  <si>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Зимско одржавање лок. путева, улица, тротоара, тргова и др.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</si>
  <si>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</si>
  <si>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</si>
  <si>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</si>
  <si>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</si>
  <si>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</si>
  <si>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</si>
  <si>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</si>
  <si>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</si>
  <si>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</si>
  <si>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</si>
  <si>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 xml:space="preserve">% учешћа 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</si>
  <si>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општу управу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00750130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</si>
  <si>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финансије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00750140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</si>
  <si>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локални економски развој и
друштвене дјелатности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00750150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</si>
  <si>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просторно уређење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00750160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</si>
  <si>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стамбено- комуналне 
послове и инвестиције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00750170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</si>
  <si>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инспекцијске послове</t>
    </r>
    <r>
      <rPr>
        <sz val="9"/>
        <rFont val="Arial"/>
        <family val="2"/>
      </rPr>
      <t xml:space="preserve">
 </t>
    </r>
    <r>
      <rPr>
        <b/>
        <sz val="9"/>
        <rFont val="Arial"/>
        <family val="2"/>
      </rPr>
      <t xml:space="preserve">  Број: 00750220</t>
    </r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</si>
  <si>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</si>
  <si>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</si>
  <si>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</si>
  <si>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3</t>
  </si>
  <si>
    <t>Средства за мјере превентивне здравствене заштите животиња</t>
  </si>
  <si>
    <t>% 
учешћа</t>
  </si>
  <si>
    <t>Камата на  кредит од 5.000.000,00 КМ</t>
  </si>
  <si>
    <t>Камата на кредит од 4.000.000,00 КМ</t>
  </si>
  <si>
    <t>Камата на  кредит од 500.000,00 КМ</t>
  </si>
  <si>
    <t>Камата на кредит од 3.000.000,00 КМ (ИРБ)</t>
  </si>
  <si>
    <t>Отплата дуга по кредиту од 3.000.000,00 КМ (ИРБ)</t>
  </si>
  <si>
    <t>Отплата дуга по кредиту од 500.000,00 КМ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</si>
  <si>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</si>
  <si>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</si>
  <si>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</si>
  <si>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</si>
  <si>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Бруто накнаде трошкова запослених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</si>
  <si>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</si>
  <si>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</si>
  <si>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</si>
  <si>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</si>
  <si>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</si>
  <si>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</si>
  <si>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</si>
  <si>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</si>
  <si>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</si>
  <si>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</si>
  <si>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</si>
  <si>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</si>
  <si>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</si>
  <si>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</si>
  <si>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</si>
  <si>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</si>
  <si>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</si>
  <si>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</si>
  <si>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</si>
  <si>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</si>
  <si>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</si>
  <si>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</si>
  <si>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</si>
  <si>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</si>
  <si>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</si>
  <si>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</si>
  <si>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</si>
  <si>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</si>
  <si>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</si>
  <si>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</si>
  <si>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</si>
  <si>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</si>
  <si>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</si>
  <si>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</si>
  <si>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</si>
  <si>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</si>
  <si>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</si>
  <si>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</si>
  <si>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</si>
  <si>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</si>
  <si>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</si>
  <si>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</si>
  <si>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</si>
  <si>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</si>
  <si>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</si>
  <si>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</si>
  <si>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</si>
  <si>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</si>
  <si>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</si>
  <si>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</si>
  <si>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</si>
  <si>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</si>
  <si>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</si>
  <si>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</si>
  <si>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</si>
  <si>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</si>
  <si>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Једнократне помоћи за треће и свако сљедеће новорођено дијете</t>
  </si>
  <si>
    <t>Подстицаји пољопривредним произвођачима</t>
  </si>
  <si>
    <r>
      <t>Назив и број потрошачке јединице:</t>
    </r>
    <r>
      <rPr>
        <b/>
        <sz val="9"/>
        <rFont val="Arial"/>
        <family val="2"/>
      </rPr>
      <t xml:space="preserve">
Трезор општине Прњавор број:  9999999</t>
    </r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</si>
  <si>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</si>
  <si>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</si>
  <si>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</si>
  <si>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</si>
  <si>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</si>
  <si>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</si>
  <si>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</si>
  <si>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0734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</si>
  <si>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</si>
  <si>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</si>
  <si>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</si>
  <si>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</si>
  <si>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Примици од продаје пословних простора и гаража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</si>
  <si>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</si>
  <si>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</si>
  <si>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Средства за пројекат "Дневна брига за старе"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</si>
  <si>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</si>
  <si>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</si>
  <si>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</si>
  <si>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</si>
  <si>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</si>
  <si>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</si>
  <si>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</si>
  <si>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</si>
  <si>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</si>
  <si>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</si>
  <si>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</si>
  <si>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</si>
  <si>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</si>
  <si>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Фун. код</t>
  </si>
  <si>
    <t>Подкат-
егорија</t>
  </si>
  <si>
    <t>О П И С</t>
  </si>
  <si>
    <t>Плакете, повеље, награде и признања општине</t>
  </si>
  <si>
    <t>Трошкови чишћења улица, тротоара и зелeних површина са одвозом прикупљеног отпада, трошкови прања улица и тротоара, кошења зелених површина са одвозом покошене траве, шишања живих ограда са одвозом прикупљеног отпада и ванредни комунални послови по наруџби (сјечење растиња, одржавање дрвореда и сл.)</t>
  </si>
  <si>
    <t>Остали комунални послови по наруџби (саднице,  канали, уређење зелених површина, објекти на путу, чишћење сливника, одржавање јавних извора и др.)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</si>
  <si>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пољопривреду, 
водопривреду и шумарство
Број: 00750250</t>
    </r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</si>
  <si>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</si>
  <si>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</si>
  <si>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</si>
  <si>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</si>
  <si>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</si>
  <si>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r>
      <t xml:space="preserve">Назив и број потрошачке јединице:
</t>
    </r>
    <r>
      <rPr>
        <b/>
        <sz val="9"/>
        <rFont val="Arial"/>
        <family val="2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</si>
  <si>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9"/>
        <rFont val="Arial"/>
        <family val="2"/>
      </rPr>
      <t>Кабинет начелника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00750120</t>
    </r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</si>
  <si>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</si>
  <si>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</si>
  <si>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</si>
  <si>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</si>
  <si>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</si>
  <si>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</si>
  <si>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</si>
  <si>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</si>
  <si>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</si>
  <si>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</si>
  <si>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</si>
  <si>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</si>
  <si>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</si>
  <si>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</si>
  <si>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</si>
  <si>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</si>
  <si>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</si>
  <si>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</si>
  <si>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</si>
  <si>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</si>
  <si>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Комунална такса за коришћење простора за паркирање моторних, друмских и прикључних возила на уређеним и обиљеженим мјестима која је за то одредила скупштина општине</t>
  </si>
  <si>
    <t>Издаци за прибављање земљишта (потпуна експропријација)</t>
  </si>
  <si>
    <r>
      <t xml:space="preserve">Средства за једнократне помоћи - </t>
    </r>
    <r>
      <rPr>
        <b/>
        <sz val="9"/>
        <rFont val="Arial"/>
        <family val="2"/>
      </rPr>
      <t>буџетска резерва</t>
    </r>
  </si>
  <si>
    <r>
      <t xml:space="preserve">ЈП " Радио Прњавор " - </t>
    </r>
    <r>
      <rPr>
        <b/>
        <sz val="9"/>
        <rFont val="Arial"/>
        <family val="2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</si>
  <si>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</si>
  <si>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националних мањина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</si>
  <si>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9"/>
        <rFont val="Arial"/>
        <family val="2"/>
      </rPr>
      <t>буџетска резерва</t>
    </r>
  </si>
  <si>
    <r>
      <t xml:space="preserve">Помоћ основним школама - </t>
    </r>
    <r>
      <rPr>
        <b/>
        <sz val="9"/>
        <rFont val="Arial"/>
        <family val="2"/>
      </rPr>
      <t>буџетска резерва</t>
    </r>
  </si>
  <si>
    <t>Приходи од давања у закуп општинских пословних простора</t>
  </si>
  <si>
    <t>Трошкови закупнине паркинг простора</t>
  </si>
  <si>
    <t>Трошкови провизије за електронску наплату паркинга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</si>
  <si>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</si>
  <si>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</si>
  <si>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</si>
  <si>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Накнаде за воде - посебне водне накнаде 
(722442-722448, 722457, 722463, 722464, 722469)</t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</si>
  <si>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средњих школа "Иво Андрић" Прњавор
Број: 08150027</t>
    </r>
  </si>
  <si>
    <t>Камата на кредит од 2.500.000,00 КМ</t>
  </si>
  <si>
    <t>Отплата дуга по кредиту од 2.500.000,00 КМ</t>
  </si>
  <si>
    <t>ЈУ Центар средњих школа "Иво Андрић" Прњавор</t>
  </si>
  <si>
    <t>Средства за остале трошкове обиљежавања значајних датума (за трошкове вијенаца, цвијећа, свијећа и др.)</t>
  </si>
  <si>
    <t>Изградња и реконструкција објеката водоснабдијевања (базени, цјевоводи, изворишта, чесме и др.) из намјенских средстава за воде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</si>
  <si>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</si>
  <si>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</si>
  <si>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</si>
  <si>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</si>
  <si>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</si>
  <si>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r>
      <t xml:space="preserve">Средства за подстицај и развој спорта - </t>
    </r>
    <r>
      <rPr>
        <b/>
        <sz val="9"/>
        <rFont val="Arial"/>
        <family val="2"/>
      </rPr>
      <t>буџетска резерва</t>
    </r>
  </si>
  <si>
    <t>Трошкови одржавања јавне расвјете
(у граду и мјесним заједницама)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</si>
  <si>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</si>
  <si>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</si>
  <si>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</si>
  <si>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r>
      <t>Назив и број потрошачке јединице:</t>
    </r>
    <r>
      <rPr>
        <b/>
        <sz val="9"/>
        <rFont val="Arial"/>
        <family val="2"/>
      </rPr>
      <t xml:space="preserve">
Остала буџетска потрошња 
Број:  00750190</t>
    </r>
  </si>
  <si>
    <t>Мјере за побољшање демографске ситуације (вантјелесна оплодња и сл.)</t>
  </si>
  <si>
    <t>Изградња водопривредних објеката-брана, мостова, воденица и сл. из намјенских средстава  за воде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</si>
  <si>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</si>
  <si>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</si>
  <si>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</si>
  <si>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</si>
  <si>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</si>
  <si>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</si>
  <si>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</si>
  <si>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</si>
  <si>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</si>
  <si>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</si>
  <si>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</si>
  <si>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</si>
  <si>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</si>
  <si>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</si>
  <si>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</si>
  <si>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</si>
  <si>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</si>
  <si>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</si>
  <si>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</si>
  <si>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</si>
  <si>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r>
      <t xml:space="preserve">Назив и број потрошачке јединице:
</t>
    </r>
    <r>
      <rPr>
        <b/>
        <sz val="9"/>
        <rFont val="Arial"/>
        <family val="2"/>
      </rPr>
      <t xml:space="preserve">Територијална ватрогасна јединица Прњавор
Број: 00750125 </t>
    </r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</si>
  <si>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</si>
  <si>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</si>
  <si>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</si>
  <si>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</si>
  <si>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</si>
  <si>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t xml:space="preserve">Допринос солидарности на терет послодавца </t>
  </si>
  <si>
    <r>
      <rPr>
        <sz val="9"/>
        <rFont val="Arial"/>
        <family val="2"/>
      </rPr>
      <t>Назив и број потрошачке јединице:</t>
    </r>
    <r>
      <rPr>
        <b/>
        <sz val="9"/>
        <rFont val="Arial"/>
        <family val="2"/>
      </rPr>
      <t xml:space="preserve">
ЈУ Народна библиотека Прњавор
Број: 08180068</t>
    </r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</si>
  <si>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</si>
  <si>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</si>
  <si>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</si>
  <si>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</si>
  <si>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тражење несталих бораца и цивила жртава рата са подручја општине Прњавор</t>
  </si>
  <si>
    <r>
      <t xml:space="preserve">Расходи за стручне услуге (извршење рјешења,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мониторинг загађујућих материја у животној средини)</t>
    </r>
  </si>
  <si>
    <t xml:space="preserve">Средства за имплементацију и суфинансирање пројеката предвиђених Стратегијом развоја општине Прњавор 2012-2020. година </t>
  </si>
  <si>
    <t>Унапређење учења мањинских језика на подручју општине Прњавор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</si>
  <si>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</si>
  <si>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</si>
  <si>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</si>
  <si>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</si>
  <si>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r>
      <t xml:space="preserve">Борачка организација општине Прњавор - </t>
    </r>
    <r>
      <rPr>
        <b/>
        <sz val="9"/>
        <rFont val="Arial"/>
        <family val="2"/>
      </rPr>
      <t>буџетска резерва</t>
    </r>
  </si>
  <si>
    <r>
      <t xml:space="preserve">Расходи за стручне услуге Центра за културу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</si>
  <si>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</si>
  <si>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</si>
  <si>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</si>
  <si>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</si>
  <si>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</si>
  <si>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</si>
  <si>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</si>
  <si>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</si>
  <si>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</si>
  <si>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Средства за обављање послова из области цивилне заштите</t>
  </si>
  <si>
    <t>Помоћ у реализацији пројеката заједница етажних власника</t>
  </si>
  <si>
    <t>0422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</si>
  <si>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</si>
  <si>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</si>
  <si>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Уређење нове локације за бувљу пијацу</t>
  </si>
  <si>
    <t>Плакете, повеље, награде и признања Начелника општине</t>
  </si>
  <si>
    <t>Израда шумскопривредног основа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</si>
  <si>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</si>
  <si>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</si>
  <si>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</si>
  <si>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</si>
  <si>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Текући грантови из земље</t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</si>
  <si>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Гимназија Прњавор
Број: 08150026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</si>
  <si>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</si>
  <si>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за културу Прњавор
Број: 08180011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</si>
  <si>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Дјечији вртић " Наша радост" Прњавор
Број: 00750400</t>
    </r>
  </si>
  <si>
    <t>Борачка организација општине Прњавор - финансирање обавеза из ранијег периода</t>
  </si>
  <si>
    <t>Издаци за залихе материјала, робе и ситног инвентара, амбалаже и сл.</t>
  </si>
  <si>
    <r>
      <t xml:space="preserve">Финансирање Црвеног крста - </t>
    </r>
    <r>
      <rPr>
        <b/>
        <sz val="9"/>
        <rFont val="Arial"/>
        <family val="2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</si>
  <si>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</si>
  <si>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поводом манифестација за празничне дане општине - </t>
    </r>
    <r>
      <rPr>
        <b/>
        <sz val="9"/>
        <rFont val="Arial"/>
        <family val="2"/>
      </rPr>
      <t>буџетска резерва</t>
    </r>
  </si>
  <si>
    <t>Трошкови сервисирања зајмова примљених у земљи</t>
  </si>
  <si>
    <t>Капиталне инвестиције из домаћих прихода</t>
  </si>
  <si>
    <t>Капиталне инвестиције из кредитних средстава</t>
  </si>
  <si>
    <t>Унапређење учења мањинских језика на подручју општине Прњавор из неутрошене примљене донације од Савјета Европе</t>
  </si>
  <si>
    <t>Ергела Вучијак Прњавор</t>
  </si>
  <si>
    <t>4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</si>
  <si>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</si>
  <si>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</si>
  <si>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</si>
  <si>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Камата на кредит од 300.000,00 КМ</t>
  </si>
  <si>
    <t>Отплата дуга по кредиту од 300.000,00 КМ</t>
  </si>
  <si>
    <t>Предузимање превентивних активности заштите и спасавања/цивилне заштите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</si>
  <si>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</si>
  <si>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</si>
  <si>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</si>
  <si>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Текуће одржавање путева на руралним подручјима општине са којих потичу дрвни сортименти</t>
  </si>
  <si>
    <r>
      <t>Средства за имплементацију и суфинансирање пројеката предвиђених Стратегијом развоја општине Прњавор 2012-2020. година -</t>
    </r>
    <r>
      <rPr>
        <b/>
        <sz val="9"/>
        <rFont val="Arial"/>
        <family val="2"/>
      </rPr>
      <t xml:space="preserve"> буџетска резерва</t>
    </r>
  </si>
  <si>
    <r>
      <t xml:space="preserve">Трошкови репрезентације- </t>
    </r>
    <r>
      <rPr>
        <b/>
        <sz val="9"/>
        <rFont val="Arial"/>
        <family val="2"/>
      </rPr>
      <t>буџетска резерва</t>
    </r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</si>
  <si>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</si>
  <si>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</si>
  <si>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</si>
  <si>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</si>
  <si>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</si>
  <si>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</si>
  <si>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</si>
  <si>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</si>
  <si>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</si>
  <si>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</si>
  <si>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</si>
  <si>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</si>
  <si>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</si>
  <si>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</si>
  <si>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</si>
  <si>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</si>
  <si>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И) РАСПОДЈЕЛА СУФИЦИТА ИЗ РАНИЈИХ ПЕРИОДА</t>
  </si>
  <si>
    <t>Трансфери између  различитих јединица 
власти</t>
  </si>
  <si>
    <t>Расходи за бруто плате запослених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</si>
  <si>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</si>
  <si>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</si>
  <si>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</si>
  <si>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</si>
  <si>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 xml:space="preserve"> Изградња и реконструкција инфраструктуре и других објеката на руралним подручјима општине са којих потичу дрвни сортименти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</si>
  <si>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</si>
  <si>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</si>
  <si>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</si>
  <si>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</si>
  <si>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</si>
  <si>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</si>
  <si>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</si>
  <si>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</si>
  <si>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</si>
  <si>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</si>
  <si>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Г) РАСПОДЈЕЛА СУФИЦИТА ИЗ РАНИЈИХ ПЕРИОДА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</si>
  <si>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</si>
  <si>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</si>
  <si>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</si>
  <si>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</si>
  <si>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Расходи по основу путовања и смјештаја Општинске управе</t>
  </si>
  <si>
    <t>Порези на имовину - порез на непокретности</t>
  </si>
  <si>
    <t>Приходи од пореза на додату вриједност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</si>
  <si>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</si>
  <si>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</si>
  <si>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</si>
  <si>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Помоћ од Министарства просвјете и културе РС Дјечијем вртићу "Наша радост" за програм припреме дјеце за полазак у школу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</si>
  <si>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</si>
  <si>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</si>
  <si>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</si>
  <si>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</si>
  <si>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</si>
  <si>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</si>
  <si>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Финансирање дијела трошкова изборне кампање политичких субјеката</t>
  </si>
  <si>
    <t>Остали непоменути расходи - припрема дјеце за полазак у школу из дозначене помоћи Министарства просвјете и културе РС</t>
  </si>
  <si>
    <r>
      <t xml:space="preserve">Плакете, повеље, награде и признања Начелника општине - </t>
    </r>
    <r>
      <rPr>
        <b/>
        <sz val="9"/>
        <rFont val="Arial"/>
        <family val="2"/>
      </rPr>
      <t>буџетска резерва</t>
    </r>
  </si>
  <si>
    <r>
      <t xml:space="preserve">Покровитељство општине за реализацију научних, културних и спортских манифестација од значаја за општину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</si>
  <si>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9"/>
        <rFont val="Arial"/>
        <family val="2"/>
      </rPr>
      <t>буџетска резерва</t>
    </r>
  </si>
  <si>
    <r>
      <t xml:space="preserve">Набавка опреме - </t>
    </r>
    <r>
      <rPr>
        <b/>
        <sz val="9"/>
        <rFont val="Arial"/>
        <family val="2"/>
      </rPr>
      <t>буџетска резерва</t>
    </r>
  </si>
  <si>
    <t>Расходи по основу судских рјешења</t>
  </si>
  <si>
    <t>Трансфери јединицама локалне самоуправе</t>
  </si>
  <si>
    <t>Отплата дуга по кредиту од 5.000.000,00 КМ</t>
  </si>
  <si>
    <t>Отплата дуга по кредиту од 4.000.000,00 КМ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</si>
  <si>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</si>
  <si>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</si>
  <si>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</si>
  <si>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</si>
  <si>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r>
      <t xml:space="preserve">Назив и број потрошачке јединице:
</t>
    </r>
    <r>
      <rPr>
        <b/>
        <sz val="9"/>
        <rFont val="Arial"/>
        <family val="2"/>
      </rPr>
      <t>ЈУ Музичка школа "Константин Бабић " Прњавор
Број: 08400005</t>
    </r>
  </si>
  <si>
    <t>411000</t>
  </si>
  <si>
    <t>412000</t>
  </si>
  <si>
    <t>Укупни расходи за потрошачку
 јединицу бр.  08400005</t>
  </si>
  <si>
    <r>
      <t xml:space="preserve">Удружење пензионера - </t>
    </r>
    <r>
      <rPr>
        <b/>
        <sz val="9"/>
        <rFont val="Arial"/>
        <family val="2"/>
      </rPr>
      <t>буџетска резерва</t>
    </r>
  </si>
  <si>
    <r>
      <t>Удружење ратних војних заробљеника "Вијенац" Возућа, и остали -</t>
    </r>
    <r>
      <rPr>
        <b/>
        <sz val="9"/>
        <rFont val="Arial"/>
        <family val="2"/>
      </rPr>
      <t xml:space="preserve"> буџетска резерва</t>
    </r>
  </si>
  <si>
    <t>ЈУ Музичка школа "Константин Бабић" Прњавор</t>
  </si>
  <si>
    <t>Грант ЈУ Центар средњих школа "Иво Андрић" за пројекат "Предузећа за вјежбу"</t>
  </si>
  <si>
    <t>Грант Федералног министарства расељених особа и избјеглица Општинској управи за реализацију "Програма помоћи у обављању приправничког стажа"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</si>
  <si>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</si>
  <si>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</si>
  <si>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</si>
  <si>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</si>
  <si>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</si>
  <si>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Остали примици (наплата јавних прихода из претходне или ранијих година по  записницима Пореске управе)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</si>
  <si>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</si>
  <si>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</si>
  <si>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</si>
  <si>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</si>
  <si>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Трошкови непотпуне експропријације,  процјене, вјештачења, накнаде штета и слично</t>
  </si>
  <si>
    <t>Трошкови обраде кредитне документације за примљене зајмове (7.000.000,00 КМ)</t>
  </si>
  <si>
    <t>Трошкови интеркаларне камате на примљени зајам (7.000.000,00 КМ)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</si>
  <si>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</si>
  <si>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</si>
  <si>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</si>
  <si>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</si>
  <si>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</si>
  <si>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Буџет
за 2018. годину</t>
  </si>
  <si>
    <t>Буџет за 
2018. годину</t>
  </si>
  <si>
    <t>Буџет за
2018. годину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</si>
  <si>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</si>
  <si>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</si>
  <si>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Приходи општинских органа управе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</si>
  <si>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</si>
  <si>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</si>
  <si>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</si>
  <si>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</si>
  <si>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Грант Фонда за заштиту животне средине и енергетску ефикасност РС за Колектор отпадних и оборинских вода општине Прњавор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</si>
  <si>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</si>
  <si>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Набавка опреме из донаторских средстава за пројекат "Предузећа за вјежбу"</t>
  </si>
  <si>
    <t>Грант Савјета родитеља ЈУ Дјечији вртић "Наша радост" за пројекат Укијева радионица (набавка дидактичког материјала)</t>
  </si>
  <si>
    <t>Грант Савјета родитеља ЈУ Дјечији вртић "Наша радост" за набавку посуђа за кухињу вртића</t>
  </si>
  <si>
    <r>
      <t xml:space="preserve">Средства за одржавање Фестивала националних мањина "Мала Европа" Прњавор - </t>
    </r>
    <r>
      <rPr>
        <b/>
        <sz val="9"/>
        <rFont val="Arial"/>
        <family val="2"/>
      </rPr>
      <t>буџетска резерва</t>
    </r>
  </si>
  <si>
    <t>Набавка дидактичког материјала по пројекту  "Укијева радионица" - из гранта Савјета родитеља</t>
  </si>
  <si>
    <t>Набавка посуђа - из средстава Савјета родитеља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</si>
  <si>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</si>
  <si>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</si>
  <si>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</si>
  <si>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</si>
  <si>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</si>
  <si>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</si>
  <si>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</si>
  <si>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Изградња Музичке школе</t>
  </si>
  <si>
    <t>Грант КП,,Водовод" АД - набавка опреме</t>
  </si>
  <si>
    <r>
      <t xml:space="preserve">Назив и број потрошачке јединице:
</t>
    </r>
    <r>
      <rPr>
        <b/>
        <sz val="9"/>
        <rFont val="Arial"/>
        <family val="2"/>
      </rPr>
      <t>Одсјек за заједничке послове
Број: 00750240</t>
    </r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</si>
  <si>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</si>
  <si>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</si>
  <si>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борачко-инвалидску и цивилну заштиту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00750180</t>
    </r>
  </si>
  <si>
    <t>Неутрошене примљене донације из ранијег периода од Ватрогасног савеза Републике Српске за унапређење заштите од пожара</t>
  </si>
  <si>
    <r>
      <t xml:space="preserve">Финансирање Кола српских сестара Прњавор - </t>
    </r>
    <r>
      <rPr>
        <b/>
        <sz val="9"/>
        <rFont val="Arial"/>
        <family val="2"/>
      </rPr>
      <t>буџетска резерва</t>
    </r>
  </si>
  <si>
    <t>Трансфер Фонду солидарности за дијагностику и лијечење обољења, стања и повреда дјеце у иностранству</t>
  </si>
  <si>
    <r>
      <t xml:space="preserve">Расходи за стручно усавршавање запослених Општинске управе - </t>
    </r>
    <r>
      <rPr>
        <b/>
        <sz val="9"/>
        <rFont val="Arial"/>
        <family val="2"/>
      </rPr>
      <t>буџетска резерва</t>
    </r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</si>
  <si>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</si>
  <si>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</si>
  <si>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</si>
  <si>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</si>
  <si>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</si>
  <si>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</si>
  <si>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</si>
  <si>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</si>
  <si>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Подстицаји за запошљавање у привреди - МЕГ пројекат</t>
  </si>
  <si>
    <t>0412</t>
  </si>
  <si>
    <t>Изградња објеката канализационе мреже - МЕГ пројекат</t>
  </si>
  <si>
    <t>0520</t>
  </si>
  <si>
    <t>Средства за студентске награде - посебни резултати током школовања</t>
  </si>
  <si>
    <t>Изградња централног споменика и спомен-обиљежја</t>
  </si>
  <si>
    <t>170-03 План капиталних улагања</t>
  </si>
  <si>
    <t>Изградња и реконструкција градских улица, локалних путева, јавне расвјете, водоводне мреже, школских и других објеката</t>
  </si>
  <si>
    <t>План и извршене реалокације</t>
  </si>
  <si>
    <t>Примици од залиха материјала, учинaка, робе и ситног инвентара,
 амбалаже и сл.</t>
  </si>
  <si>
    <t>5(3+4)</t>
  </si>
  <si>
    <t>7(6/5*100)</t>
  </si>
  <si>
    <t>7(5+6)</t>
  </si>
  <si>
    <t>9(8/7*100)</t>
  </si>
  <si>
    <r>
      <t xml:space="preserve">Остали непоменути расходи - </t>
    </r>
    <r>
      <rPr>
        <b/>
        <sz val="9"/>
        <rFont val="Arial"/>
        <family val="2"/>
      </rPr>
      <t>буџетска резерва</t>
    </r>
  </si>
  <si>
    <t>Укупни расходи за потрошачку
 јединицу бр.  00750241</t>
  </si>
  <si>
    <t>Назив и број потрошачке јединице:
Одсјек за јавне  набавке, правна питања и прописе
Број: 00750241</t>
  </si>
  <si>
    <t>6</t>
  </si>
  <si>
    <t>5(4/3*100)</t>
  </si>
  <si>
    <t>Изградња споменика погинулим борцима у МЗ Кремна - средства Министарства рада и борачко-инвалидске заштите</t>
  </si>
  <si>
    <t xml:space="preserve"> ИЗВЈЕШТАЈ О ИЗВРШЕЊУ БУЏЕТА
ОПШТИНЕ ПРЊАВОР 
ЗА ПЕРИОД 01.01-30.06.2018. ГОДИНЕ
- табеларни дио -</t>
  </si>
  <si>
    <t>ТАБЕЛА 1. ИЗВРШЕЊЕ БУЏЕТА ОПШТИНЕ ПРЊАВОР ЗА ПЕРИОД 01.01-30.06.2018. ГОДИНЕ 
- ОПШТИ ДИО</t>
  </si>
  <si>
    <t>Извршење
 01.01-30.06.2018. године</t>
  </si>
  <si>
    <t>ТАБЕЛА 2.   ИЗВРШЕЊЕ БУЏЕТА ОПШТИНЕ ПРЊАВОР ЗА ПЕРИОД 01.01-30.06.2018. ГОДИНЕ
-БУЏЕТСКИ ПРИХОДИ И ПРИМИЦИ ЗА НЕФИНАНСИЈСКУ ИМОВИНУ</t>
  </si>
  <si>
    <t>Извршење 01.01-30.06.2018. године</t>
  </si>
  <si>
    <t xml:space="preserve">  ТАБЕЛА 3.  ИЗВРШЕЊЕ БУЏЕТА ОПШТИНЕ ПРЊАВОР ЗА ПЕРИОД 01.01-30.06.2018. ГОДИНЕ
-БУЏЕТСКИ РАСХОДИ И ИЗДАЦИ ЗА НЕФИНАНСИЈСКУ ИМОВИНУ        </t>
  </si>
  <si>
    <t>Извршене реалокације у периоду 01.01-30.06.2018. године</t>
  </si>
  <si>
    <t>ТАБЕЛА 4.  ИЗВРШЕЊЕ БУЏЕТА ОПШТИНЕ ПРЊАВОР ЗА ПЕРИОД 01.01-30.06.2018. ГОДИНЕ
- ФИНАНСИРАЊЕ</t>
  </si>
  <si>
    <t>Извршење 
01.01-30.06.2018. године</t>
  </si>
  <si>
    <t xml:space="preserve"> ТАБЕЛА 5.  ИЗВРШЕЊЕ БУЏЕТА ОПШТИНЕ ПРЊАВОР ЗА ПЕРИОД 01.01-30.06.2018. ГОДИНЕ
 - ОРГАНИЗАЦИОНА КЛАСИФИКАЦИЈА                                                                                                                                                                                    </t>
  </si>
  <si>
    <t xml:space="preserve">  ТАБЕЛА 6.  ИЗВРШЕЊЕ БУЏЕТА ОПШТИНЕ ПРЊАВОР ЗА ПЕРИОД 01.01-30.06.2018. ГОДИНЕ
- ФУНКЦИОНАЛНА КЛАСИФИКАЦИЈА </t>
  </si>
  <si>
    <t>Извршене реалокације у периоду 
01.01-30.06.2018. године</t>
  </si>
  <si>
    <t>Извршење 01.01-30.06.2017. године</t>
  </si>
  <si>
    <t>8(6/4*100)</t>
  </si>
  <si>
    <t>6(5/4*100)</t>
  </si>
  <si>
    <r>
      <t xml:space="preserve">Средства за студентске награде - посебни резултати током школовања - </t>
    </r>
    <r>
      <rPr>
        <b/>
        <sz val="9"/>
        <rFont val="Arial"/>
        <family val="2"/>
      </rPr>
      <t>буџетска резерва</t>
    </r>
  </si>
  <si>
    <t>Капитални грантови у земљи</t>
  </si>
  <si>
    <r>
      <t>Једнократне новчане помоћи појединцима из борачке популације -</t>
    </r>
    <r>
      <rPr>
        <b/>
        <sz val="9"/>
        <rFont val="Arial"/>
        <family val="2"/>
      </rPr>
      <t xml:space="preserve"> буџетска резерва</t>
    </r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</si>
  <si>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</si>
  <si>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9"/>
        <rFont val="Arial"/>
        <family val="2"/>
      </rPr>
      <t>буџетска резерва</t>
    </r>
  </si>
  <si>
    <r>
      <t xml:space="preserve">Расходи за материјал за посебне намјене - </t>
    </r>
    <r>
      <rPr>
        <b/>
        <sz val="9"/>
        <rFont val="Arial"/>
        <family val="2"/>
      </rPr>
      <t>буџетска резерва</t>
    </r>
  </si>
  <si>
    <t>Санација ОШ "Милош Црњански" Поточани из средстава Министарства просвјете и културе РС</t>
  </si>
  <si>
    <t>Примици по основу аванса</t>
  </si>
  <si>
    <t>0610</t>
  </si>
  <si>
    <t>Санација друштвених домова из средстава Министарства за избјеглице и расељена лица РС</t>
  </si>
  <si>
    <t xml:space="preserve">      Прњавор, август 2018. гoдине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</si>
</sst>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0000000"/>
    <numFmt numFmtId="194" formatCode="0.0"/>
    <numFmt numFmtId="195" formatCode="#,##0.00;[Red]#,##0.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Times"/>
      <family val="1"/>
    </font>
    <font>
      <b/>
      <sz val="11"/>
      <name val="Symbol"/>
      <family val="1"/>
    </font>
    <font>
      <b/>
      <sz val="9"/>
      <name val="Symbol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9" tint="-0.4999699890613556"/>
      <name val="Arial"/>
      <family val="2"/>
    </font>
    <font>
      <sz val="10"/>
      <color theme="5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FFBD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>
        <color indexed="63"/>
      </bottom>
    </border>
    <border>
      <left style="double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2" fontId="7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 wrapText="1"/>
    </xf>
    <xf numFmtId="4" fontId="12" fillId="34" borderId="13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24" fillId="0" borderId="16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4" fontId="6" fillId="13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13" borderId="10" xfId="0" applyFont="1" applyFill="1" applyBorder="1" applyAlignment="1">
      <alignment vertical="center"/>
    </xf>
    <xf numFmtId="2" fontId="2" fillId="13" borderId="16" xfId="0" applyNumberFormat="1" applyFont="1" applyFill="1" applyBorder="1" applyAlignment="1">
      <alignment horizontal="right" vertical="center"/>
    </xf>
    <xf numFmtId="4" fontId="2" fillId="13" borderId="10" xfId="0" applyNumberFormat="1" applyFont="1" applyFill="1" applyBorder="1" applyAlignment="1">
      <alignment horizontal="right" vertical="center"/>
    </xf>
    <xf numFmtId="2" fontId="2" fillId="13" borderId="21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6" fillId="33" borderId="22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2" fillId="13" borderId="13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right" vertical="center"/>
    </xf>
    <xf numFmtId="4" fontId="8" fillId="33" borderId="24" xfId="0" applyNumberFormat="1" applyFont="1" applyFill="1" applyBorder="1" applyAlignment="1">
      <alignment horizontal="right" vertical="center"/>
    </xf>
    <xf numFmtId="4" fontId="13" fillId="0" borderId="25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right" vertical="center"/>
    </xf>
    <xf numFmtId="0" fontId="4" fillId="39" borderId="26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72" fillId="0" borderId="0" xfId="0" applyNumberFormat="1" applyFont="1" applyBorder="1" applyAlignment="1">
      <alignment horizontal="left" wrapText="1"/>
    </xf>
    <xf numFmtId="4" fontId="6" fillId="38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33" borderId="24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36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2" fillId="1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" fontId="13" fillId="40" borderId="24" xfId="0" applyNumberFormat="1" applyFont="1" applyFill="1" applyBorder="1" applyAlignment="1">
      <alignment horizontal="right" vertical="center"/>
    </xf>
    <xf numFmtId="4" fontId="72" fillId="0" borderId="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4" fontId="23" fillId="13" borderId="13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6" fillId="13" borderId="16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4" fontId="2" fillId="34" borderId="1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23" fillId="13" borderId="13" xfId="0" applyFont="1" applyFill="1" applyBorder="1" applyAlignment="1">
      <alignment vertical="center" wrapText="1"/>
    </xf>
    <xf numFmtId="4" fontId="8" fillId="35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6" fillId="39" borderId="24" xfId="0" applyNumberFormat="1" applyFont="1" applyFill="1" applyBorder="1" applyAlignment="1">
      <alignment horizontal="right" vertical="center"/>
    </xf>
    <xf numFmtId="4" fontId="6" fillId="38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4" fontId="2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34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 wrapText="1"/>
    </xf>
    <xf numFmtId="4" fontId="2" fillId="39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vertical="center"/>
    </xf>
    <xf numFmtId="4" fontId="6" fillId="13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 wrapText="1"/>
    </xf>
    <xf numFmtId="4" fontId="13" fillId="36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7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23" fillId="39" borderId="13" xfId="0" applyFont="1" applyFill="1" applyBorder="1" applyAlignment="1">
      <alignment horizontal="left" vertical="center" wrapText="1"/>
    </xf>
    <xf numFmtId="4" fontId="23" fillId="39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4" fontId="8" fillId="40" borderId="10" xfId="0" applyNumberFormat="1" applyFont="1" applyFill="1" applyBorder="1" applyAlignment="1">
      <alignment horizontal="right" vertical="center"/>
    </xf>
    <xf numFmtId="4" fontId="8" fillId="40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" fontId="2" fillId="38" borderId="16" xfId="0" applyNumberFormat="1" applyFont="1" applyFill="1" applyBorder="1" applyAlignment="1">
      <alignment horizontal="right" vertical="center"/>
    </xf>
    <xf numFmtId="4" fontId="2" fillId="30" borderId="16" xfId="0" applyNumberFormat="1" applyFont="1" applyFill="1" applyBorder="1" applyAlignment="1">
      <alignment horizontal="right" vertical="center"/>
    </xf>
    <xf numFmtId="4" fontId="0" fillId="40" borderId="24" xfId="0" applyNumberFormat="1" applyFont="1" applyFill="1" applyBorder="1" applyAlignment="1">
      <alignment horizontal="right" vertical="center"/>
    </xf>
    <xf numFmtId="4" fontId="0" fillId="40" borderId="16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center" vertical="center"/>
    </xf>
    <xf numFmtId="4" fontId="6" fillId="40" borderId="10" xfId="0" applyNumberFormat="1" applyFont="1" applyFill="1" applyBorder="1" applyAlignment="1">
      <alignment horizontal="right" vertical="center"/>
    </xf>
    <xf numFmtId="4" fontId="6" fillId="40" borderId="16" xfId="0" applyNumberFormat="1" applyFont="1" applyFill="1" applyBorder="1" applyAlignment="1">
      <alignment horizontal="right" vertical="center"/>
    </xf>
    <xf numFmtId="4" fontId="8" fillId="40" borderId="16" xfId="0" applyNumberFormat="1" applyFont="1" applyFill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" fontId="2" fillId="13" borderId="13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2" fontId="0" fillId="40" borderId="16" xfId="0" applyNumberFormat="1" applyFont="1" applyFill="1" applyBorder="1" applyAlignment="1">
      <alignment horizontal="right" vertical="center"/>
    </xf>
    <xf numFmtId="4" fontId="8" fillId="35" borderId="16" xfId="0" applyNumberFormat="1" applyFont="1" applyFill="1" applyBorder="1" applyAlignment="1">
      <alignment horizontal="right" vertical="center"/>
    </xf>
    <xf numFmtId="2" fontId="8" fillId="35" borderId="16" xfId="0" applyNumberFormat="1" applyFont="1" applyFill="1" applyBorder="1" applyAlignment="1">
      <alignment horizontal="right" vertical="center"/>
    </xf>
    <xf numFmtId="4" fontId="16" fillId="33" borderId="28" xfId="0" applyNumberFormat="1" applyFont="1" applyFill="1" applyBorder="1" applyAlignment="1">
      <alignment horizontal="right" vertical="center"/>
    </xf>
    <xf numFmtId="4" fontId="13" fillId="40" borderId="10" xfId="0" applyNumberFormat="1" applyFont="1" applyFill="1" applyBorder="1" applyAlignment="1">
      <alignment horizontal="right" vertical="center"/>
    </xf>
    <xf numFmtId="2" fontId="8" fillId="40" borderId="16" xfId="0" applyNumberFormat="1" applyFont="1" applyFill="1" applyBorder="1" applyAlignment="1">
      <alignment horizontal="right" vertical="center"/>
    </xf>
    <xf numFmtId="2" fontId="8" fillId="38" borderId="16" xfId="0" applyNumberFormat="1" applyFont="1" applyFill="1" applyBorder="1" applyAlignment="1">
      <alignment horizontal="right" vertical="center"/>
    </xf>
    <xf numFmtId="4" fontId="13" fillId="38" borderId="24" xfId="0" applyNumberFormat="1" applyFont="1" applyFill="1" applyBorder="1" applyAlignment="1">
      <alignment horizontal="right" vertical="center"/>
    </xf>
    <xf numFmtId="2" fontId="8" fillId="38" borderId="24" xfId="0" applyNumberFormat="1" applyFont="1" applyFill="1" applyBorder="1" applyAlignment="1">
      <alignment horizontal="right" vertical="center"/>
    </xf>
    <xf numFmtId="4" fontId="8" fillId="38" borderId="16" xfId="0" applyNumberFormat="1" applyFont="1" applyFill="1" applyBorder="1" applyAlignment="1">
      <alignment horizontal="right" vertical="center"/>
    </xf>
    <xf numFmtId="4" fontId="14" fillId="39" borderId="24" xfId="0" applyNumberFormat="1" applyFont="1" applyFill="1" applyBorder="1" applyAlignment="1">
      <alignment horizontal="right" vertical="center"/>
    </xf>
    <xf numFmtId="4" fontId="6" fillId="39" borderId="16" xfId="0" applyNumberFormat="1" applyFont="1" applyFill="1" applyBorder="1" applyAlignment="1">
      <alignment horizontal="right" vertical="center"/>
    </xf>
    <xf numFmtId="2" fontId="6" fillId="39" borderId="16" xfId="0" applyNumberFormat="1" applyFont="1" applyFill="1" applyBorder="1" applyAlignment="1">
      <alignment horizontal="right" vertical="center"/>
    </xf>
    <xf numFmtId="4" fontId="14" fillId="39" borderId="29" xfId="0" applyNumberFormat="1" applyFont="1" applyFill="1" applyBorder="1" applyAlignment="1">
      <alignment horizontal="right" vertical="center"/>
    </xf>
    <xf numFmtId="2" fontId="6" fillId="39" borderId="21" xfId="0" applyNumberFormat="1" applyFont="1" applyFill="1" applyBorder="1" applyAlignment="1">
      <alignment horizontal="right" vertical="center"/>
    </xf>
    <xf numFmtId="4" fontId="14" fillId="39" borderId="10" xfId="0" applyNumberFormat="1" applyFont="1" applyFill="1" applyBorder="1" applyAlignment="1">
      <alignment horizontal="right" vertical="center"/>
    </xf>
    <xf numFmtId="4" fontId="13" fillId="41" borderId="24" xfId="0" applyNumberFormat="1" applyFont="1" applyFill="1" applyBorder="1" applyAlignment="1">
      <alignment horizontal="right" vertical="center"/>
    </xf>
    <xf numFmtId="2" fontId="8" fillId="41" borderId="16" xfId="0" applyNumberFormat="1" applyFont="1" applyFill="1" applyBorder="1" applyAlignment="1">
      <alignment horizontal="right" vertical="center"/>
    </xf>
    <xf numFmtId="4" fontId="13" fillId="41" borderId="10" xfId="0" applyNumberFormat="1" applyFont="1" applyFill="1" applyBorder="1" applyAlignment="1">
      <alignment horizontal="right" vertical="center"/>
    </xf>
    <xf numFmtId="0" fontId="0" fillId="40" borderId="11" xfId="0" applyFont="1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/>
    </xf>
    <xf numFmtId="49" fontId="8" fillId="40" borderId="27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" fontId="14" fillId="34" borderId="30" xfId="0" applyNumberFormat="1" applyFont="1" applyFill="1" applyBorder="1" applyAlignment="1">
      <alignment horizontal="right" vertical="center"/>
    </xf>
    <xf numFmtId="4" fontId="14" fillId="39" borderId="31" xfId="0" applyNumberFormat="1" applyFont="1" applyFill="1" applyBorder="1" applyAlignment="1">
      <alignment horizontal="right" vertical="center"/>
    </xf>
    <xf numFmtId="2" fontId="6" fillId="39" borderId="32" xfId="0" applyNumberFormat="1" applyFont="1" applyFill="1" applyBorder="1" applyAlignment="1">
      <alignment horizontal="right" vertical="center"/>
    </xf>
    <xf numFmtId="49" fontId="8" fillId="40" borderId="10" xfId="0" applyNumberFormat="1" applyFont="1" applyFill="1" applyBorder="1" applyAlignment="1">
      <alignment horizontal="center" vertical="center"/>
    </xf>
    <xf numFmtId="49" fontId="8" fillId="40" borderId="3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" fontId="6" fillId="39" borderId="32" xfId="0" applyNumberFormat="1" applyFont="1" applyFill="1" applyBorder="1" applyAlignment="1">
      <alignment horizontal="right" vertical="center"/>
    </xf>
    <xf numFmtId="4" fontId="13" fillId="35" borderId="33" xfId="0" applyNumberFormat="1" applyFont="1" applyFill="1" applyBorder="1" applyAlignment="1">
      <alignment horizontal="right" vertical="center"/>
    </xf>
    <xf numFmtId="4" fontId="8" fillId="35" borderId="34" xfId="0" applyNumberFormat="1" applyFont="1" applyFill="1" applyBorder="1" applyAlignment="1">
      <alignment horizontal="right" vertical="center"/>
    </xf>
    <xf numFmtId="4" fontId="13" fillId="35" borderId="35" xfId="0" applyNumberFormat="1" applyFont="1" applyFill="1" applyBorder="1" applyAlignment="1">
      <alignment horizontal="right" vertical="center"/>
    </xf>
    <xf numFmtId="2" fontId="8" fillId="35" borderId="34" xfId="0" applyNumberFormat="1" applyFont="1" applyFill="1" applyBorder="1" applyAlignment="1">
      <alignment horizontal="right" vertical="center"/>
    </xf>
    <xf numFmtId="4" fontId="14" fillId="39" borderId="30" xfId="0" applyNumberFormat="1" applyFont="1" applyFill="1" applyBorder="1" applyAlignment="1">
      <alignment horizontal="right" vertical="center"/>
    </xf>
    <xf numFmtId="4" fontId="13" fillId="0" borderId="35" xfId="0" applyNumberFormat="1" applyFont="1" applyFill="1" applyBorder="1" applyAlignment="1">
      <alignment horizontal="right" vertical="center"/>
    </xf>
    <xf numFmtId="4" fontId="13" fillId="0" borderId="36" xfId="0" applyNumberFormat="1" applyFont="1" applyFill="1" applyBorder="1" applyAlignment="1">
      <alignment horizontal="right" vertical="center"/>
    </xf>
    <xf numFmtId="2" fontId="8" fillId="33" borderId="34" xfId="0" applyNumberFormat="1" applyFont="1" applyFill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4" fontId="13" fillId="42" borderId="10" xfId="0" applyNumberFormat="1" applyFont="1" applyFill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4" fontId="13" fillId="0" borderId="37" xfId="0" applyNumberFormat="1" applyFont="1" applyFill="1" applyBorder="1" applyAlignment="1">
      <alignment horizontal="right" vertical="center"/>
    </xf>
    <xf numFmtId="4" fontId="13" fillId="0" borderId="38" xfId="0" applyNumberFormat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4" fontId="13" fillId="0" borderId="38" xfId="0" applyNumberFormat="1" applyFont="1" applyBorder="1" applyAlignment="1">
      <alignment horizontal="right" vertical="center"/>
    </xf>
    <xf numFmtId="4" fontId="13" fillId="0" borderId="39" xfId="0" applyNumberFormat="1" applyFont="1" applyBorder="1" applyAlignment="1">
      <alignment horizontal="right" vertical="center"/>
    </xf>
    <xf numFmtId="4" fontId="13" fillId="42" borderId="16" xfId="0" applyNumberFormat="1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" fontId="14" fillId="39" borderId="16" xfId="0" applyNumberFormat="1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vertical="center"/>
    </xf>
    <xf numFmtId="4" fontId="14" fillId="0" borderId="39" xfId="0" applyNumberFormat="1" applyFont="1" applyFill="1" applyBorder="1" applyAlignment="1">
      <alignment vertical="center"/>
    </xf>
    <xf numFmtId="4" fontId="72" fillId="0" borderId="0" xfId="0" applyNumberFormat="1" applyFont="1" applyAlignment="1">
      <alignment/>
    </xf>
    <xf numFmtId="195" fontId="0" fillId="0" borderId="0" xfId="0" applyNumberFormat="1" applyAlignment="1">
      <alignment/>
    </xf>
    <xf numFmtId="195" fontId="3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195" fontId="73" fillId="0" borderId="0" xfId="0" applyNumberFormat="1" applyFont="1" applyAlignment="1">
      <alignment/>
    </xf>
    <xf numFmtId="195" fontId="0" fillId="0" borderId="0" xfId="0" applyNumberFormat="1" applyAlignment="1">
      <alignment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21" fillId="0" borderId="0" xfId="0" applyNumberFormat="1" applyFont="1" applyAlignment="1">
      <alignment vertical="center"/>
    </xf>
    <xf numFmtId="195" fontId="72" fillId="0" borderId="0" xfId="0" applyNumberFormat="1" applyFont="1" applyBorder="1" applyAlignment="1">
      <alignment wrapText="1"/>
    </xf>
    <xf numFmtId="195" fontId="72" fillId="0" borderId="0" xfId="0" applyNumberFormat="1" applyFont="1" applyBorder="1" applyAlignment="1">
      <alignment horizontal="left" wrapText="1"/>
    </xf>
    <xf numFmtId="195" fontId="0" fillId="0" borderId="0" xfId="0" applyNumberFormat="1" applyFont="1" applyBorder="1" applyAlignment="1">
      <alignment vertical="center"/>
    </xf>
    <xf numFmtId="195" fontId="5" fillId="0" borderId="0" xfId="0" applyNumberFormat="1" applyFont="1" applyAlignment="1">
      <alignment horizontal="center" vertical="center"/>
    </xf>
    <xf numFmtId="195" fontId="2" fillId="0" borderId="0" xfId="0" applyNumberFormat="1" applyFont="1" applyAlignment="1">
      <alignment vertical="center"/>
    </xf>
    <xf numFmtId="195" fontId="72" fillId="0" borderId="0" xfId="0" applyNumberFormat="1" applyFont="1" applyAlignment="1">
      <alignment vertical="center"/>
    </xf>
    <xf numFmtId="195" fontId="72" fillId="0" borderId="0" xfId="0" applyNumberFormat="1" applyFont="1" applyBorder="1" applyAlignment="1">
      <alignment vertical="center"/>
    </xf>
    <xf numFmtId="195" fontId="72" fillId="0" borderId="0" xfId="0" applyNumberFormat="1" applyFont="1" applyAlignment="1">
      <alignment/>
    </xf>
    <xf numFmtId="195" fontId="72" fillId="0" borderId="0" xfId="0" applyNumberFormat="1" applyFont="1" applyFill="1" applyAlignment="1">
      <alignment vertical="center"/>
    </xf>
    <xf numFmtId="195" fontId="72" fillId="0" borderId="0" xfId="0" applyNumberFormat="1" applyFont="1" applyBorder="1" applyAlignment="1">
      <alignment wrapText="1"/>
    </xf>
    <xf numFmtId="195" fontId="72" fillId="0" borderId="0" xfId="0" applyNumberFormat="1" applyFont="1" applyBorder="1" applyAlignment="1">
      <alignment horizontal="left" wrapText="1"/>
    </xf>
    <xf numFmtId="195" fontId="74" fillId="0" borderId="0" xfId="0" applyNumberFormat="1" applyFont="1" applyAlignment="1">
      <alignment horizontal="center" vertical="center"/>
    </xf>
    <xf numFmtId="195" fontId="75" fillId="0" borderId="0" xfId="0" applyNumberFormat="1" applyFont="1" applyAlignment="1">
      <alignment vertical="center"/>
    </xf>
    <xf numFmtId="195" fontId="0" fillId="0" borderId="0" xfId="0" applyNumberFormat="1" applyFont="1" applyAlignment="1">
      <alignment vertical="center"/>
    </xf>
    <xf numFmtId="195" fontId="73" fillId="0" borderId="0" xfId="0" applyNumberFormat="1" applyFont="1" applyBorder="1" applyAlignment="1">
      <alignment vertical="center"/>
    </xf>
    <xf numFmtId="4" fontId="8" fillId="0" borderId="16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" fontId="6" fillId="34" borderId="16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4" fontId="2" fillId="39" borderId="16" xfId="0" applyNumberFormat="1" applyFont="1" applyFill="1" applyBorder="1" applyAlignment="1">
      <alignment horizontal="right" vertical="center"/>
    </xf>
    <xf numFmtId="4" fontId="2" fillId="36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4" fontId="2" fillId="39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38" borderId="1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4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left" vertical="center"/>
    </xf>
    <xf numFmtId="4" fontId="23" fillId="13" borderId="21" xfId="0" applyNumberFormat="1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right" vertical="center"/>
    </xf>
    <xf numFmtId="0" fontId="8" fillId="33" borderId="33" xfId="0" applyFont="1" applyFill="1" applyBorder="1" applyAlignment="1">
      <alignment vertical="center" wrapText="1"/>
    </xf>
    <xf numFmtId="4" fontId="13" fillId="40" borderId="35" xfId="0" applyNumberFormat="1" applyFont="1" applyFill="1" applyBorder="1" applyAlignment="1">
      <alignment horizontal="right" vertical="center"/>
    </xf>
    <xf numFmtId="4" fontId="8" fillId="40" borderId="34" xfId="0" applyNumberFormat="1" applyFont="1" applyFill="1" applyBorder="1" applyAlignment="1">
      <alignment horizontal="right" vertical="center"/>
    </xf>
    <xf numFmtId="4" fontId="8" fillId="41" borderId="16" xfId="0" applyNumberFormat="1" applyFont="1" applyFill="1" applyBorder="1" applyAlignment="1">
      <alignment horizontal="right" vertical="center"/>
    </xf>
    <xf numFmtId="4" fontId="23" fillId="39" borderId="21" xfId="0" applyNumberFormat="1" applyFont="1" applyFill="1" applyBorder="1" applyAlignment="1">
      <alignment horizontal="right" vertical="center"/>
    </xf>
    <xf numFmtId="4" fontId="23" fillId="13" borderId="13" xfId="0" applyNumberFormat="1" applyFont="1" applyFill="1" applyBorder="1" applyAlignment="1">
      <alignment horizontal="right" vertical="center"/>
    </xf>
    <xf numFmtId="4" fontId="23" fillId="13" borderId="2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2" fontId="17" fillId="0" borderId="43" xfId="0" applyNumberFormat="1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4" fontId="0" fillId="0" borderId="49" xfId="0" applyNumberForma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4" fontId="0" fillId="0" borderId="46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4" fontId="23" fillId="39" borderId="52" xfId="0" applyNumberFormat="1" applyFont="1" applyFill="1" applyBorder="1" applyAlignment="1">
      <alignment horizontal="right" vertical="center"/>
    </xf>
    <xf numFmtId="4" fontId="23" fillId="39" borderId="53" xfId="0" applyNumberFormat="1" applyFont="1" applyFill="1" applyBorder="1" applyAlignment="1">
      <alignment horizontal="right" vertical="center"/>
    </xf>
    <xf numFmtId="4" fontId="8" fillId="38" borderId="2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horizontal="right" vertical="center"/>
    </xf>
    <xf numFmtId="195" fontId="76" fillId="0" borderId="0" xfId="0" applyNumberFormat="1" applyFont="1" applyAlignment="1">
      <alignment vertical="center"/>
    </xf>
    <xf numFmtId="4" fontId="77" fillId="0" borderId="54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horizontal="right" vertical="center"/>
    </xf>
    <xf numFmtId="195" fontId="78" fillId="0" borderId="0" xfId="0" applyNumberFormat="1" applyFont="1" applyAlignment="1">
      <alignment vertical="center"/>
    </xf>
    <xf numFmtId="195" fontId="79" fillId="0" borderId="0" xfId="0" applyNumberFormat="1" applyFont="1" applyAlignment="1">
      <alignment vertical="center"/>
    </xf>
    <xf numFmtId="195" fontId="79" fillId="0" borderId="0" xfId="0" applyNumberFormat="1" applyFont="1" applyBorder="1" applyAlignment="1">
      <alignment vertical="center"/>
    </xf>
    <xf numFmtId="4" fontId="8" fillId="0" borderId="35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4" fontId="8" fillId="40" borderId="10" xfId="0" applyNumberFormat="1" applyFont="1" applyFill="1" applyBorder="1" applyAlignment="1">
      <alignment horizontal="right" vertical="center"/>
    </xf>
    <xf numFmtId="4" fontId="8" fillId="4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4" fontId="2" fillId="39" borderId="24" xfId="0" applyNumberFormat="1" applyFont="1" applyFill="1" applyBorder="1" applyAlignment="1">
      <alignment horizontal="right" vertical="center"/>
    </xf>
    <xf numFmtId="4" fontId="2" fillId="38" borderId="24" xfId="0" applyNumberFormat="1" applyFont="1" applyFill="1" applyBorder="1" applyAlignment="1">
      <alignment horizontal="right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40" borderId="24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3" fillId="13" borderId="29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13" fillId="0" borderId="24" xfId="0" applyNumberFormat="1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horizontal="right" vertical="center"/>
    </xf>
    <xf numFmtId="4" fontId="13" fillId="0" borderId="31" xfId="0" applyNumberFormat="1" applyFont="1" applyFill="1" applyBorder="1" applyAlignment="1">
      <alignment horizontal="right" vertical="center"/>
    </xf>
    <xf numFmtId="4" fontId="0" fillId="0" borderId="55" xfId="0" applyNumberFormat="1" applyBorder="1" applyAlignment="1">
      <alignment horizontal="right" vertical="center"/>
    </xf>
    <xf numFmtId="4" fontId="32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/>
    </xf>
    <xf numFmtId="4" fontId="31" fillId="13" borderId="16" xfId="0" applyNumberFormat="1" applyFont="1" applyFill="1" applyBorder="1" applyAlignment="1">
      <alignment horizontal="right" vertical="center" wrapText="1"/>
    </xf>
    <xf numFmtId="4" fontId="30" fillId="13" borderId="2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6" fillId="34" borderId="24" xfId="0" applyNumberFormat="1" applyFont="1" applyFill="1" applyBorder="1" applyAlignment="1">
      <alignment horizontal="right" vertical="center"/>
    </xf>
    <xf numFmtId="4" fontId="6" fillId="40" borderId="24" xfId="0" applyNumberFormat="1" applyFont="1" applyFill="1" applyBorder="1" applyAlignment="1">
      <alignment horizontal="right" vertical="center"/>
    </xf>
    <xf numFmtId="4" fontId="8" fillId="40" borderId="24" xfId="0" applyNumberFormat="1" applyFont="1" applyFill="1" applyBorder="1" applyAlignment="1">
      <alignment horizontal="right" vertical="center"/>
    </xf>
    <xf numFmtId="4" fontId="23" fillId="13" borderId="29" xfId="0" applyNumberFormat="1" applyFont="1" applyFill="1" applyBorder="1" applyAlignment="1">
      <alignment horizontal="right" vertical="center"/>
    </xf>
    <xf numFmtId="4" fontId="8" fillId="33" borderId="55" xfId="0" applyNumberFormat="1" applyFont="1" applyFill="1" applyBorder="1" applyAlignment="1">
      <alignment horizontal="right" vertical="center"/>
    </xf>
    <xf numFmtId="49" fontId="8" fillId="0" borderId="41" xfId="0" applyNumberFormat="1" applyFont="1" applyFill="1" applyBorder="1" applyAlignment="1">
      <alignment horizontal="center" vertical="center"/>
    </xf>
    <xf numFmtId="4" fontId="31" fillId="34" borderId="16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8" fillId="0" borderId="5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4" fontId="14" fillId="40" borderId="14" xfId="0" applyNumberFormat="1" applyFont="1" applyFill="1" applyBorder="1" applyAlignment="1">
      <alignment horizontal="center" vertical="center"/>
    </xf>
    <xf numFmtId="4" fontId="14" fillId="40" borderId="37" xfId="0" applyNumberFormat="1" applyFont="1" applyFill="1" applyBorder="1" applyAlignment="1">
      <alignment horizontal="center" vertical="center"/>
    </xf>
    <xf numFmtId="4" fontId="14" fillId="40" borderId="15" xfId="0" applyNumberFormat="1" applyFont="1" applyFill="1" applyBorder="1" applyAlignment="1">
      <alignment horizontal="center" vertical="center"/>
    </xf>
    <xf numFmtId="4" fontId="14" fillId="40" borderId="39" xfId="0" applyNumberFormat="1" applyFont="1" applyFill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9" fontId="6" fillId="40" borderId="25" xfId="0" applyNumberFormat="1" applyFont="1" applyFill="1" applyBorder="1" applyAlignment="1">
      <alignment horizontal="center" vertical="center"/>
    </xf>
    <xf numFmtId="49" fontId="6" fillId="40" borderId="63" xfId="0" applyNumberFormat="1" applyFont="1" applyFill="1" applyBorder="1" applyAlignment="1">
      <alignment horizontal="center" vertical="center"/>
    </xf>
    <xf numFmtId="49" fontId="6" fillId="40" borderId="64" xfId="0" applyNumberFormat="1" applyFont="1" applyFill="1" applyBorder="1" applyAlignment="1">
      <alignment horizontal="center" vertical="center"/>
    </xf>
    <xf numFmtId="49" fontId="6" fillId="40" borderId="65" xfId="0" applyNumberFormat="1" applyFont="1" applyFill="1" applyBorder="1" applyAlignment="1">
      <alignment horizontal="center" vertical="center"/>
    </xf>
    <xf numFmtId="49" fontId="6" fillId="40" borderId="6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zoomScalePageLayoutView="0" workbookViewId="0" topLeftCell="A1">
      <selection activeCell="H30" sqref="H30"/>
    </sheetView>
  </sheetViews>
  <sheetFormatPr defaultColWidth="9.140625" defaultRowHeight="12.75"/>
  <sheetData>
    <row r="1" spans="1:13" ht="12.7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24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2.75" customHeight="1"/>
    <row r="6" ht="12.75" customHeight="1"/>
    <row r="7" ht="12.75" customHeight="1"/>
    <row r="8" spans="9:11" ht="15">
      <c r="I8" s="19"/>
      <c r="J8" s="19"/>
      <c r="K8" s="19"/>
    </row>
    <row r="9" spans="9:11" ht="15">
      <c r="I9" s="19"/>
      <c r="J9" s="20"/>
      <c r="K9" s="19"/>
    </row>
    <row r="10" spans="9:11" ht="15">
      <c r="I10" s="19"/>
      <c r="J10" s="20"/>
      <c r="K10" s="19"/>
    </row>
    <row r="11" spans="8:11" ht="12.75" customHeight="1">
      <c r="H11" s="21"/>
      <c r="I11" s="19"/>
      <c r="J11" s="22"/>
      <c r="K11" s="23"/>
    </row>
    <row r="12" ht="12.75" customHeight="1"/>
    <row r="13" ht="7.5" customHeight="1"/>
    <row r="14" spans="10:12" ht="12.75" customHeight="1">
      <c r="J14" s="282"/>
      <c r="K14" s="204"/>
      <c r="L14" s="204"/>
    </row>
    <row r="16" ht="6" customHeight="1"/>
    <row r="17" ht="12.75" customHeight="1"/>
    <row r="18" spans="1:13" ht="12.75" customHeight="1">
      <c r="A18" s="520" t="s">
        <v>546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</row>
    <row r="19" spans="1:13" ht="12.75" customHeight="1">
      <c r="A19" s="520"/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</row>
    <row r="20" spans="1:13" ht="34.5" customHeight="1">
      <c r="A20" s="520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</row>
    <row r="21" spans="1:13" ht="39" customHeight="1">
      <c r="A21" s="520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</row>
    <row r="22" ht="12.75" customHeight="1"/>
    <row r="23" ht="9" customHeight="1"/>
    <row r="33" spans="8:13" ht="15.75">
      <c r="H33" s="521"/>
      <c r="I33" s="521"/>
      <c r="J33" s="521"/>
      <c r="K33" s="521"/>
      <c r="L33" s="521"/>
      <c r="M33" s="521"/>
    </row>
    <row r="34" spans="1:13" ht="15.75">
      <c r="A34" s="522" t="s">
        <v>571</v>
      </c>
      <c r="B34" s="522"/>
      <c r="C34" s="522"/>
      <c r="D34" s="522"/>
      <c r="E34" s="522"/>
      <c r="H34" s="521"/>
      <c r="I34" s="521"/>
      <c r="J34" s="521"/>
      <c r="K34" s="521"/>
      <c r="L34" s="521"/>
      <c r="M34" s="521"/>
    </row>
  </sheetData>
  <sheetProtection/>
  <mergeCells count="4">
    <mergeCell ref="A18:M21"/>
    <mergeCell ref="H33:M33"/>
    <mergeCell ref="A34:E34"/>
    <mergeCell ref="H34:M3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34">
      <selection activeCell="E58" sqref="E58"/>
    </sheetView>
  </sheetViews>
  <sheetFormatPr defaultColWidth="9.140625" defaultRowHeight="12.75"/>
  <cols>
    <col min="1" max="1" width="11.00390625" style="0" bestFit="1" customWidth="1"/>
    <col min="2" max="2" width="63.57421875" style="0" customWidth="1"/>
    <col min="3" max="3" width="20.28125" style="144" customWidth="1"/>
    <col min="4" max="4" width="18.7109375" style="144" customWidth="1"/>
    <col min="5" max="5" width="14.8515625" style="144" customWidth="1"/>
    <col min="6" max="6" width="9.140625" style="0" customWidth="1"/>
    <col min="7" max="7" width="16.7109375" style="0" customWidth="1"/>
    <col min="8" max="8" width="14.8515625" style="0" customWidth="1"/>
  </cols>
  <sheetData>
    <row r="1" spans="1:5" ht="58.5" customHeight="1" thickBot="1">
      <c r="A1" s="523" t="s">
        <v>547</v>
      </c>
      <c r="B1" s="523"/>
      <c r="C1" s="523"/>
      <c r="D1" s="523"/>
      <c r="E1" s="523"/>
    </row>
    <row r="2" spans="1:5" ht="18.75" customHeight="1" thickTop="1">
      <c r="A2" s="524" t="s">
        <v>63</v>
      </c>
      <c r="B2" s="526" t="s">
        <v>233</v>
      </c>
      <c r="C2" s="528" t="s">
        <v>485</v>
      </c>
      <c r="D2" s="528" t="s">
        <v>548</v>
      </c>
      <c r="E2" s="530" t="s">
        <v>118</v>
      </c>
    </row>
    <row r="3" spans="1:5" ht="42.75" customHeight="1">
      <c r="A3" s="525"/>
      <c r="B3" s="527"/>
      <c r="C3" s="529"/>
      <c r="D3" s="529"/>
      <c r="E3" s="531"/>
    </row>
    <row r="4" spans="1:5" s="5" customFormat="1" ht="12.75" customHeight="1">
      <c r="A4" s="213">
        <v>1</v>
      </c>
      <c r="B4" s="110">
        <v>2</v>
      </c>
      <c r="C4" s="235">
        <v>3</v>
      </c>
      <c r="D4" s="235">
        <v>4</v>
      </c>
      <c r="E4" s="111" t="s">
        <v>544</v>
      </c>
    </row>
    <row r="5" spans="1:7" ht="18" customHeight="1">
      <c r="A5" s="214"/>
      <c r="B5" s="115" t="s">
        <v>300</v>
      </c>
      <c r="C5" s="246">
        <f>C6+C13+C18+C20</f>
        <v>13552000</v>
      </c>
      <c r="D5" s="246">
        <f>D6+D13+D18+D20</f>
        <v>6517517.329999999</v>
      </c>
      <c r="E5" s="220">
        <f>IF(C5&gt;0,D5/C5*100,0)</f>
        <v>48.092660345336476</v>
      </c>
      <c r="G5" s="1"/>
    </row>
    <row r="6" spans="1:7" ht="15" customHeight="1">
      <c r="A6" s="221">
        <v>710000</v>
      </c>
      <c r="B6" s="154" t="s">
        <v>250</v>
      </c>
      <c r="C6" s="237">
        <f>C7+C8+C9+C10+C11+C12</f>
        <v>10030000</v>
      </c>
      <c r="D6" s="237">
        <f>D7+D8+D9+D10+D11+D12</f>
        <v>4815563.13</v>
      </c>
      <c r="E6" s="284">
        <f aca="true" t="shared" si="0" ref="E6:E44">IF(C6&gt;0,D6/C6*100,0)</f>
        <v>48.01159651046859</v>
      </c>
      <c r="G6" s="1"/>
    </row>
    <row r="7" spans="1:7" ht="14.25" customHeight="1">
      <c r="A7" s="218">
        <v>711100</v>
      </c>
      <c r="B7" s="93" t="s">
        <v>211</v>
      </c>
      <c r="C7" s="185">
        <f>'B.pr. i prim. za nef. im.'!E7</f>
        <v>3000</v>
      </c>
      <c r="D7" s="185">
        <f>'B.pr. i prim. za nef. im.'!F7</f>
        <v>364.53</v>
      </c>
      <c r="E7" s="287">
        <f t="shared" si="0"/>
        <v>12.151</v>
      </c>
      <c r="G7" s="1"/>
    </row>
    <row r="8" spans="1:7" ht="13.5" customHeight="1">
      <c r="A8" s="218">
        <v>713000</v>
      </c>
      <c r="B8" s="45" t="s">
        <v>5</v>
      </c>
      <c r="C8" s="185">
        <f>'B.pr. i prim. za nef. im.'!E9</f>
        <v>1160000</v>
      </c>
      <c r="D8" s="185">
        <f>'B.pr. i prim. za nef. im.'!F9</f>
        <v>600173.83</v>
      </c>
      <c r="E8" s="287">
        <f t="shared" si="0"/>
        <v>51.73912327586206</v>
      </c>
      <c r="G8" s="1"/>
    </row>
    <row r="9" spans="1:7" ht="14.25" customHeight="1">
      <c r="A9" s="218">
        <v>714000</v>
      </c>
      <c r="B9" s="45" t="s">
        <v>9</v>
      </c>
      <c r="C9" s="185">
        <f>'B.pr. i prim. za nef. im.'!E12</f>
        <v>350000</v>
      </c>
      <c r="D9" s="185">
        <f>'B.pr. i prim. za nef. im.'!F12</f>
        <v>173143.12</v>
      </c>
      <c r="E9" s="287">
        <f t="shared" si="0"/>
        <v>49.46946285714285</v>
      </c>
      <c r="G9" s="1"/>
    </row>
    <row r="10" spans="1:7" ht="14.25" customHeight="1">
      <c r="A10" s="218">
        <v>715000</v>
      </c>
      <c r="B10" s="45" t="s">
        <v>175</v>
      </c>
      <c r="C10" s="185">
        <f>'B.pr. i prim. za nef. im.'!E14</f>
        <v>55000</v>
      </c>
      <c r="D10" s="185">
        <f>'B.pr. i prim. za nef. im.'!F14</f>
        <v>58.66</v>
      </c>
      <c r="E10" s="287">
        <f t="shared" si="0"/>
        <v>0.10665454545454546</v>
      </c>
      <c r="G10" s="1"/>
    </row>
    <row r="11" spans="1:7" ht="14.25" customHeight="1">
      <c r="A11" s="218">
        <v>717000</v>
      </c>
      <c r="B11" s="93" t="s">
        <v>390</v>
      </c>
      <c r="C11" s="185">
        <f>'B.pr. i prim. za nef. im.'!E17</f>
        <v>8450000</v>
      </c>
      <c r="D11" s="185">
        <f>'B.pr. i prim. za nef. im.'!F17</f>
        <v>4040967.38</v>
      </c>
      <c r="E11" s="287">
        <f t="shared" si="0"/>
        <v>47.82209917159763</v>
      </c>
      <c r="G11" s="1"/>
    </row>
    <row r="12" spans="1:7" ht="14.25" customHeight="1">
      <c r="A12" s="218">
        <v>719000</v>
      </c>
      <c r="B12" s="45" t="s">
        <v>391</v>
      </c>
      <c r="C12" s="185">
        <f>'B.pr. i prim. za nef. im.'!E19</f>
        <v>12000</v>
      </c>
      <c r="D12" s="185">
        <f>'B.pr. i prim. za nef. im.'!F19</f>
        <v>855.61</v>
      </c>
      <c r="E12" s="287">
        <f t="shared" si="0"/>
        <v>7.130083333333334</v>
      </c>
      <c r="G12" s="1"/>
    </row>
    <row r="13" spans="1:7" ht="15" customHeight="1">
      <c r="A13" s="221">
        <v>720000</v>
      </c>
      <c r="B13" s="154" t="s">
        <v>253</v>
      </c>
      <c r="C13" s="237">
        <f>C14+C15+C16+C17</f>
        <v>2544500</v>
      </c>
      <c r="D13" s="237">
        <f>D14+D15+D16+D17</f>
        <v>1228752.3099999998</v>
      </c>
      <c r="E13" s="284">
        <f t="shared" si="0"/>
        <v>48.29052112399292</v>
      </c>
      <c r="G13" s="1"/>
    </row>
    <row r="14" spans="1:7" ht="14.25" customHeight="1">
      <c r="A14" s="216">
        <v>721000</v>
      </c>
      <c r="B14" s="93" t="s">
        <v>176</v>
      </c>
      <c r="C14" s="185">
        <f>'B.pr. i prim. za nef. im.'!E22</f>
        <v>202000</v>
      </c>
      <c r="D14" s="185">
        <f>'B.pr. i prim. za nef. im.'!F22</f>
        <v>119059.99</v>
      </c>
      <c r="E14" s="287">
        <f t="shared" si="0"/>
        <v>58.94058910891089</v>
      </c>
      <c r="G14" s="1"/>
    </row>
    <row r="15" spans="1:7" ht="14.25" customHeight="1">
      <c r="A15" s="216">
        <v>722000</v>
      </c>
      <c r="B15" s="28" t="s">
        <v>179</v>
      </c>
      <c r="C15" s="185">
        <f>'B.pr. i prim. za nef. im.'!E29</f>
        <v>2277500</v>
      </c>
      <c r="D15" s="185">
        <f>'B.pr. i prim. za nef. im.'!F29</f>
        <v>1073758.15</v>
      </c>
      <c r="E15" s="287">
        <f t="shared" si="0"/>
        <v>47.146351262349064</v>
      </c>
      <c r="G15" s="1"/>
    </row>
    <row r="16" spans="1:7" ht="14.25" customHeight="1">
      <c r="A16" s="216">
        <v>723000</v>
      </c>
      <c r="B16" s="45" t="s">
        <v>23</v>
      </c>
      <c r="C16" s="247">
        <f>'B.pr. i prim. za nef. im.'!E61</f>
        <v>13000</v>
      </c>
      <c r="D16" s="247">
        <f>'B.pr. i prim. za nef. im.'!F61</f>
        <v>8655</v>
      </c>
      <c r="E16" s="287">
        <f t="shared" si="0"/>
        <v>66.57692307692308</v>
      </c>
      <c r="G16" s="1"/>
    </row>
    <row r="17" spans="1:7" ht="12.75">
      <c r="A17" s="216">
        <v>729000</v>
      </c>
      <c r="B17" s="28" t="s">
        <v>24</v>
      </c>
      <c r="C17" s="247">
        <f>'B.pr. i prim. za nef. im.'!E63</f>
        <v>52000</v>
      </c>
      <c r="D17" s="247">
        <f>'B.pr. i prim. za nef. im.'!F63</f>
        <v>27279.17</v>
      </c>
      <c r="E17" s="287">
        <f t="shared" si="0"/>
        <v>52.45994230769231</v>
      </c>
      <c r="G17" s="1"/>
    </row>
    <row r="18" spans="1:7" ht="15" customHeight="1">
      <c r="A18" s="217">
        <v>730000</v>
      </c>
      <c r="B18" s="155" t="s">
        <v>259</v>
      </c>
      <c r="C18" s="237">
        <f>C19</f>
        <v>0</v>
      </c>
      <c r="D18" s="237">
        <f>D19</f>
        <v>0</v>
      </c>
      <c r="E18" s="284">
        <f t="shared" si="0"/>
        <v>0</v>
      </c>
      <c r="G18" s="1"/>
    </row>
    <row r="19" spans="1:7" ht="15" customHeight="1">
      <c r="A19" s="218">
        <v>731000</v>
      </c>
      <c r="B19" s="35" t="s">
        <v>157</v>
      </c>
      <c r="C19" s="185">
        <f>'B.pr. i prim. za nef. im.'!E65</f>
        <v>0</v>
      </c>
      <c r="D19" s="185">
        <f>'B.pr. i prim. za nef. im.'!F65</f>
        <v>0</v>
      </c>
      <c r="E19" s="287">
        <f t="shared" si="0"/>
        <v>0</v>
      </c>
      <c r="G19" s="1"/>
    </row>
    <row r="20" spans="1:8" s="2" customFormat="1" ht="15" customHeight="1">
      <c r="A20" s="217">
        <v>780000</v>
      </c>
      <c r="B20" s="156" t="s">
        <v>392</v>
      </c>
      <c r="C20" s="237">
        <f>C21</f>
        <v>977500</v>
      </c>
      <c r="D20" s="237">
        <f>D21</f>
        <v>473201.8900000001</v>
      </c>
      <c r="E20" s="284">
        <f t="shared" si="0"/>
        <v>48.40940051150896</v>
      </c>
      <c r="G20" s="1"/>
      <c r="H20"/>
    </row>
    <row r="21" spans="1:8" s="2" customFormat="1" ht="15" customHeight="1">
      <c r="A21" s="218">
        <v>787000</v>
      </c>
      <c r="B21" s="45" t="s">
        <v>393</v>
      </c>
      <c r="C21" s="185">
        <f>'B.pr. i prim. za nef. im.'!E73</f>
        <v>977500</v>
      </c>
      <c r="D21" s="185">
        <f>'B.pr. i prim. za nef. im.'!F73</f>
        <v>473201.8900000001</v>
      </c>
      <c r="E21" s="287">
        <f t="shared" si="0"/>
        <v>48.40940051150896</v>
      </c>
      <c r="G21" s="1"/>
      <c r="H21"/>
    </row>
    <row r="22" spans="1:8" s="2" customFormat="1" ht="15" customHeight="1">
      <c r="A22" s="216"/>
      <c r="B22" s="115" t="s">
        <v>396</v>
      </c>
      <c r="C22" s="248">
        <f>C23+C32+C34</f>
        <v>11399200</v>
      </c>
      <c r="D22" s="248">
        <f>D23+D32+D34</f>
        <v>5578958.619999999</v>
      </c>
      <c r="E22" s="220">
        <f t="shared" si="0"/>
        <v>48.9416680117903</v>
      </c>
      <c r="G22" s="1"/>
      <c r="H22"/>
    </row>
    <row r="23" spans="1:8" s="2" customFormat="1" ht="15" customHeight="1">
      <c r="A23" s="221">
        <v>410000</v>
      </c>
      <c r="B23" s="163" t="s">
        <v>301</v>
      </c>
      <c r="C23" s="237">
        <f>SUM(C24:C31)</f>
        <v>11057500</v>
      </c>
      <c r="D23" s="237">
        <f>SUM(D24:D31)</f>
        <v>5483949.139999999</v>
      </c>
      <c r="E23" s="284">
        <f t="shared" si="0"/>
        <v>49.594837350214775</v>
      </c>
      <c r="G23" s="1"/>
      <c r="H23"/>
    </row>
    <row r="24" spans="1:8" s="2" customFormat="1" ht="14.25" customHeight="1">
      <c r="A24" s="218">
        <v>411000</v>
      </c>
      <c r="B24" s="157" t="s">
        <v>141</v>
      </c>
      <c r="C24" s="185">
        <f>'B.rash. i izdaci za nef. im.'!C6</f>
        <v>3861000</v>
      </c>
      <c r="D24" s="185">
        <f>'B.rash. i izdaci za nef. im.'!F6</f>
        <v>1972227.4399999997</v>
      </c>
      <c r="E24" s="287">
        <f t="shared" si="0"/>
        <v>51.08074177674177</v>
      </c>
      <c r="G24" s="1"/>
      <c r="H24"/>
    </row>
    <row r="25" spans="1:8" s="2" customFormat="1" ht="12.75">
      <c r="A25" s="218">
        <v>412000</v>
      </c>
      <c r="B25" s="158" t="s">
        <v>143</v>
      </c>
      <c r="C25" s="69">
        <f>'B.rash. i izdaci za nef. im.'!C11</f>
        <v>2593050</v>
      </c>
      <c r="D25" s="69">
        <f>'B.rash. i izdaci za nef. im.'!F11</f>
        <v>1351400.67</v>
      </c>
      <c r="E25" s="287">
        <f t="shared" si="0"/>
        <v>52.116259617053274</v>
      </c>
      <c r="G25" s="1"/>
      <c r="H25"/>
    </row>
    <row r="26" spans="1:8" s="2" customFormat="1" ht="12.75">
      <c r="A26" s="218">
        <v>413000</v>
      </c>
      <c r="B26" s="159" t="s">
        <v>153</v>
      </c>
      <c r="C26" s="249">
        <f>'B.rash. i izdaci za nef. im.'!C21</f>
        <v>286500</v>
      </c>
      <c r="D26" s="185">
        <f>'B.rash. i izdaci za nef. im.'!F21</f>
        <v>131505.51</v>
      </c>
      <c r="E26" s="287">
        <f t="shared" si="0"/>
        <v>45.90070157068063</v>
      </c>
      <c r="G26" s="1"/>
      <c r="H26"/>
    </row>
    <row r="27" spans="1:8" s="2" customFormat="1" ht="12.75">
      <c r="A27" s="218">
        <v>414000</v>
      </c>
      <c r="B27" s="157" t="s">
        <v>198</v>
      </c>
      <c r="C27" s="185">
        <f>'B.rash. i izdaci za nef. im.'!C25</f>
        <v>410000</v>
      </c>
      <c r="D27" s="185">
        <f>'B.rash. i izdaci za nef. im.'!F25</f>
        <v>18563</v>
      </c>
      <c r="E27" s="287">
        <f t="shared" si="0"/>
        <v>4.527560975609756</v>
      </c>
      <c r="G27" s="1"/>
      <c r="H27"/>
    </row>
    <row r="28" spans="1:8" s="2" customFormat="1" ht="12.75">
      <c r="A28" s="218">
        <v>415000</v>
      </c>
      <c r="B28" s="158" t="s">
        <v>157</v>
      </c>
      <c r="C28" s="185">
        <f>'B.rash. i izdaci za nef. im.'!C27</f>
        <v>1063800</v>
      </c>
      <c r="D28" s="185">
        <f>'B.rash. i izdaci za nef. im.'!F27</f>
        <v>593585.73</v>
      </c>
      <c r="E28" s="287">
        <f t="shared" si="0"/>
        <v>55.79862098138748</v>
      </c>
      <c r="G28" s="1"/>
      <c r="H28"/>
    </row>
    <row r="29" spans="1:8" s="2" customFormat="1" ht="15.75" customHeight="1">
      <c r="A29" s="218">
        <v>416000</v>
      </c>
      <c r="B29" s="157" t="s">
        <v>166</v>
      </c>
      <c r="C29" s="185">
        <f>'B.rash. i izdaci za nef. im.'!C29</f>
        <v>2685000</v>
      </c>
      <c r="D29" s="185">
        <f>'B.rash. i izdaci za nef. im.'!F29</f>
        <v>1327973.9499999997</v>
      </c>
      <c r="E29" s="287">
        <f t="shared" si="0"/>
        <v>49.458992551210414</v>
      </c>
      <c r="G29" s="1"/>
      <c r="H29"/>
    </row>
    <row r="30" spans="1:8" s="2" customFormat="1" ht="26.25" customHeight="1">
      <c r="A30" s="218">
        <v>418000</v>
      </c>
      <c r="B30" s="157" t="s">
        <v>394</v>
      </c>
      <c r="C30" s="69">
        <f>'B.rash. i izdaci za nef. im.'!C32</f>
        <v>4000</v>
      </c>
      <c r="D30" s="69">
        <f>'B.rash. i izdaci za nef. im.'!F32</f>
        <v>1942</v>
      </c>
      <c r="E30" s="287">
        <f t="shared" si="0"/>
        <v>48.55</v>
      </c>
      <c r="G30" s="1"/>
      <c r="H30"/>
    </row>
    <row r="31" spans="1:8" s="2" customFormat="1" ht="16.5" customHeight="1">
      <c r="A31" s="218">
        <v>419000</v>
      </c>
      <c r="B31" s="157" t="s">
        <v>395</v>
      </c>
      <c r="C31" s="185">
        <f>'B.rash. i izdaci za nef. im.'!C34</f>
        <v>154150</v>
      </c>
      <c r="D31" s="185">
        <f>'B.rash. i izdaci za nef. im.'!F34</f>
        <v>86750.84</v>
      </c>
      <c r="E31" s="287">
        <f t="shared" si="0"/>
        <v>56.276899124229644</v>
      </c>
      <c r="G31" s="1"/>
      <c r="H31"/>
    </row>
    <row r="32" spans="1:8" s="2" customFormat="1" ht="16.5" customHeight="1">
      <c r="A32" s="221">
        <v>480000</v>
      </c>
      <c r="B32" s="163" t="s">
        <v>398</v>
      </c>
      <c r="C32" s="237">
        <f>SUM(C33)</f>
        <v>181700</v>
      </c>
      <c r="D32" s="237">
        <f>SUM(D33)</f>
        <v>95009.48000000001</v>
      </c>
      <c r="E32" s="284">
        <f t="shared" si="0"/>
        <v>52.289201981287846</v>
      </c>
      <c r="G32" s="1"/>
      <c r="H32"/>
    </row>
    <row r="33" spans="1:8" s="2" customFormat="1" ht="16.5" customHeight="1">
      <c r="A33" s="218">
        <v>487000</v>
      </c>
      <c r="B33" s="157" t="s">
        <v>393</v>
      </c>
      <c r="C33" s="185">
        <f>'B.rash. i izdaci za nef. im.'!C36</f>
        <v>181700</v>
      </c>
      <c r="D33" s="185">
        <f>'B.rash. i izdaci za nef. im.'!F36</f>
        <v>95009.48000000001</v>
      </c>
      <c r="E33" s="287">
        <f t="shared" si="0"/>
        <v>52.289201981287846</v>
      </c>
      <c r="G33" s="1"/>
      <c r="H33"/>
    </row>
    <row r="34" spans="1:8" s="2" customFormat="1" ht="15.75" customHeight="1">
      <c r="A34" s="221" t="s">
        <v>219</v>
      </c>
      <c r="B34" s="163" t="s">
        <v>397</v>
      </c>
      <c r="C34" s="237">
        <f>'B.rash. i izdaci za nef. im.'!C41</f>
        <v>160000</v>
      </c>
      <c r="D34" s="237">
        <f>'B.rash. i izdaci za nef. im.'!G41</f>
        <v>0</v>
      </c>
      <c r="E34" s="284">
        <f t="shared" si="0"/>
        <v>0</v>
      </c>
      <c r="G34" s="1"/>
      <c r="H34"/>
    </row>
    <row r="35" spans="1:8" s="2" customFormat="1" ht="16.5" customHeight="1">
      <c r="A35" s="216"/>
      <c r="B35" s="160" t="s">
        <v>302</v>
      </c>
      <c r="C35" s="250">
        <f>C5-C22</f>
        <v>2152800</v>
      </c>
      <c r="D35" s="250">
        <f>D5-D22</f>
        <v>938558.71</v>
      </c>
      <c r="E35" s="285">
        <f t="shared" si="0"/>
        <v>43.597115849126716</v>
      </c>
      <c r="G35" s="1"/>
      <c r="H35"/>
    </row>
    <row r="36" spans="1:8" s="2" customFormat="1" ht="16.5" customHeight="1">
      <c r="A36" s="216"/>
      <c r="B36" s="162" t="s">
        <v>303</v>
      </c>
      <c r="C36" s="236">
        <f>C37-C41</f>
        <v>-2767453.87</v>
      </c>
      <c r="D36" s="236">
        <f>D37-D41</f>
        <v>-499746.00999999995</v>
      </c>
      <c r="E36" s="220">
        <f t="shared" si="0"/>
        <v>0</v>
      </c>
      <c r="G36" s="1"/>
      <c r="H36"/>
    </row>
    <row r="37" spans="1:7" ht="15" customHeight="1">
      <c r="A37" s="221">
        <v>810000</v>
      </c>
      <c r="B37" s="163" t="s">
        <v>261</v>
      </c>
      <c r="C37" s="237">
        <f>C38+C39+C40</f>
        <v>105000</v>
      </c>
      <c r="D37" s="237">
        <f>D38+D39+D40</f>
        <v>49920.68</v>
      </c>
      <c r="E37" s="284">
        <f t="shared" si="0"/>
        <v>47.543504761904764</v>
      </c>
      <c r="G37" s="1"/>
    </row>
    <row r="38" spans="1:7" ht="14.25" customHeight="1">
      <c r="A38" s="218">
        <v>811000</v>
      </c>
      <c r="B38" s="45" t="s">
        <v>194</v>
      </c>
      <c r="C38" s="185">
        <f>'B.pr. i prim. za nef. im.'!E82</f>
        <v>0</v>
      </c>
      <c r="D38" s="185">
        <f>'B.pr. i prim. za nef. im.'!F82</f>
        <v>0</v>
      </c>
      <c r="E38" s="287">
        <f t="shared" si="0"/>
        <v>0</v>
      </c>
      <c r="G38" s="1"/>
    </row>
    <row r="39" spans="1:7" ht="14.25" customHeight="1">
      <c r="A39" s="218">
        <v>813000</v>
      </c>
      <c r="B39" s="45" t="s">
        <v>181</v>
      </c>
      <c r="C39" s="185">
        <f>'B.pr. i prim. za nef. im.'!E84</f>
        <v>100000</v>
      </c>
      <c r="D39" s="185">
        <f>'B.pr. i prim. za nef. im.'!F84</f>
        <v>47715.68</v>
      </c>
      <c r="E39" s="287">
        <f t="shared" si="0"/>
        <v>47.71568</v>
      </c>
      <c r="G39" s="1"/>
    </row>
    <row r="40" spans="1:7" ht="27" customHeight="1">
      <c r="A40" s="218">
        <v>816000</v>
      </c>
      <c r="B40" s="45" t="s">
        <v>535</v>
      </c>
      <c r="C40" s="185">
        <f>'B.pr. i prim. za nef. im.'!E86</f>
        <v>5000</v>
      </c>
      <c r="D40" s="185">
        <f>'B.pr. i prim. za nef. im.'!F86</f>
        <v>2205</v>
      </c>
      <c r="E40" s="287">
        <f t="shared" si="0"/>
        <v>44.1</v>
      </c>
      <c r="G40" s="1"/>
    </row>
    <row r="41" spans="1:7" ht="16.5" customHeight="1">
      <c r="A41" s="221">
        <v>510000</v>
      </c>
      <c r="B41" s="163" t="s">
        <v>305</v>
      </c>
      <c r="C41" s="237">
        <f>SUM(C42:C44)</f>
        <v>2872453.87</v>
      </c>
      <c r="D41" s="237">
        <f>SUM(D42:D44)</f>
        <v>549666.69</v>
      </c>
      <c r="E41" s="284">
        <f t="shared" si="0"/>
        <v>19.135788245051955</v>
      </c>
      <c r="G41" s="1"/>
    </row>
    <row r="42" spans="1:7" ht="12.75">
      <c r="A42" s="218">
        <v>511000</v>
      </c>
      <c r="B42" s="45" t="s">
        <v>161</v>
      </c>
      <c r="C42" s="185">
        <f>'B.rash. i izdaci za nef. im.'!C43</f>
        <v>2748453.87</v>
      </c>
      <c r="D42" s="185">
        <f>'B.rash. i izdaci za nef. im.'!F43</f>
        <v>543174.61</v>
      </c>
      <c r="E42" s="287">
        <f t="shared" si="0"/>
        <v>19.7629152858949</v>
      </c>
      <c r="G42" s="1"/>
    </row>
    <row r="43" spans="1:7" ht="12.75">
      <c r="A43" s="222">
        <v>513000</v>
      </c>
      <c r="B43" s="158" t="s">
        <v>188</v>
      </c>
      <c r="C43" s="185">
        <f>'B.rash. i izdaci za nef. im.'!C48</f>
        <v>110000</v>
      </c>
      <c r="D43" s="185">
        <f>'B.rash. i izdaci za nef. im.'!F48</f>
        <v>1120</v>
      </c>
      <c r="E43" s="287">
        <f t="shared" si="0"/>
        <v>1.0181818181818183</v>
      </c>
      <c r="G43" s="1"/>
    </row>
    <row r="44" spans="1:7" ht="13.5" customHeight="1">
      <c r="A44" s="222">
        <v>516000</v>
      </c>
      <c r="B44" s="157" t="s">
        <v>368</v>
      </c>
      <c r="C44" s="185">
        <f>'B.rash. i izdaci za nef. im.'!C50</f>
        <v>14000</v>
      </c>
      <c r="D44" s="185">
        <f>'B.rash. i izdaci za nef. im.'!F50</f>
        <v>5372.08</v>
      </c>
      <c r="E44" s="287">
        <f t="shared" si="0"/>
        <v>38.372</v>
      </c>
      <c r="G44" s="1"/>
    </row>
    <row r="45" spans="1:7" ht="18.75" customHeight="1">
      <c r="A45" s="222"/>
      <c r="B45" s="160" t="s">
        <v>306</v>
      </c>
      <c r="C45" s="250">
        <f>C35+C36</f>
        <v>-614653.8700000001</v>
      </c>
      <c r="D45" s="250">
        <f>D35+D36</f>
        <v>438812.7</v>
      </c>
      <c r="E45" s="507" t="s">
        <v>324</v>
      </c>
      <c r="G45" s="1"/>
    </row>
    <row r="46" spans="1:7" ht="15.75" customHeight="1">
      <c r="A46" s="222"/>
      <c r="B46" s="115" t="s">
        <v>399</v>
      </c>
      <c r="C46" s="236">
        <f>C47+C52+C58+C65</f>
        <v>614653.8700000005</v>
      </c>
      <c r="D46" s="236">
        <f>D47+D52+D58+D65</f>
        <v>-317001.08999999956</v>
      </c>
      <c r="E46" s="519" t="s">
        <v>324</v>
      </c>
      <c r="G46" s="1"/>
    </row>
    <row r="47" spans="1:7" ht="17.25" customHeight="1">
      <c r="A47" s="222"/>
      <c r="B47" s="115" t="s">
        <v>307</v>
      </c>
      <c r="C47" s="236">
        <f>C48-C50</f>
        <v>0</v>
      </c>
      <c r="D47" s="236">
        <f>D48-D50</f>
        <v>0</v>
      </c>
      <c r="E47" s="220">
        <f aca="true" t="shared" si="1" ref="E47:E65">IF(C47&gt;0,D47/C47*100,0)</f>
        <v>0</v>
      </c>
      <c r="G47" s="1"/>
    </row>
    <row r="48" spans="1:7" ht="15" customHeight="1">
      <c r="A48" s="221">
        <v>910000</v>
      </c>
      <c r="B48" s="163" t="s">
        <v>308</v>
      </c>
      <c r="C48" s="237">
        <f>SUM(C49)</f>
        <v>0</v>
      </c>
      <c r="D48" s="237">
        <f>SUM(D49)</f>
        <v>0</v>
      </c>
      <c r="E48" s="284">
        <f t="shared" si="1"/>
        <v>0</v>
      </c>
      <c r="G48" s="1"/>
    </row>
    <row r="49" spans="1:7" ht="14.25" customHeight="1">
      <c r="A49" s="76">
        <v>911000</v>
      </c>
      <c r="B49" s="40" t="s">
        <v>309</v>
      </c>
      <c r="C49" s="186">
        <f>Finansiranje!C8</f>
        <v>0</v>
      </c>
      <c r="D49" s="186">
        <f>Finansiranje!D8</f>
        <v>0</v>
      </c>
      <c r="E49" s="287">
        <f t="shared" si="1"/>
        <v>0</v>
      </c>
      <c r="G49" s="1"/>
    </row>
    <row r="50" spans="1:7" ht="14.25" customHeight="1">
      <c r="A50" s="221">
        <v>610000</v>
      </c>
      <c r="B50" s="163" t="s">
        <v>310</v>
      </c>
      <c r="C50" s="237">
        <f>SUM(C51)</f>
        <v>0</v>
      </c>
      <c r="D50" s="237">
        <f>SUM(D51)</f>
        <v>0</v>
      </c>
      <c r="E50" s="284">
        <f t="shared" si="1"/>
        <v>0</v>
      </c>
      <c r="G50" s="1"/>
    </row>
    <row r="51" spans="1:7" ht="14.25" customHeight="1">
      <c r="A51" s="76">
        <v>611000</v>
      </c>
      <c r="B51" s="40" t="s">
        <v>311</v>
      </c>
      <c r="C51" s="186">
        <f>Finansiranje!C10</f>
        <v>0</v>
      </c>
      <c r="D51" s="186">
        <f>Finansiranje!D10</f>
        <v>0</v>
      </c>
      <c r="E51" s="287">
        <f t="shared" si="1"/>
        <v>0</v>
      </c>
      <c r="G51" s="1"/>
    </row>
    <row r="52" spans="1:7" ht="14.25" customHeight="1">
      <c r="A52" s="76"/>
      <c r="B52" s="115" t="s">
        <v>312</v>
      </c>
      <c r="C52" s="236">
        <f>C53-C55</f>
        <v>118272.02000000048</v>
      </c>
      <c r="D52" s="236">
        <f>D53-D55</f>
        <v>-522152.5599999996</v>
      </c>
      <c r="E52" s="519" t="s">
        <v>324</v>
      </c>
      <c r="G52" s="1"/>
    </row>
    <row r="53" spans="1:7" ht="15" customHeight="1">
      <c r="A53" s="221">
        <v>920000</v>
      </c>
      <c r="B53" s="163" t="s">
        <v>315</v>
      </c>
      <c r="C53" s="237">
        <f>SUM(C54)</f>
        <v>7000000</v>
      </c>
      <c r="D53" s="237">
        <f>SUM(D54)</f>
        <v>5607211.16</v>
      </c>
      <c r="E53" s="284">
        <f t="shared" si="1"/>
        <v>80.10301657142858</v>
      </c>
      <c r="G53" s="1"/>
    </row>
    <row r="54" spans="1:7" ht="14.25" customHeight="1">
      <c r="A54" s="76">
        <v>921000</v>
      </c>
      <c r="B54" s="87" t="s">
        <v>523</v>
      </c>
      <c r="C54" s="69">
        <f>Finansiranje!C13</f>
        <v>7000000</v>
      </c>
      <c r="D54" s="69">
        <f>Finansiranje!D13</f>
        <v>5607211.16</v>
      </c>
      <c r="E54" s="287">
        <f t="shared" si="1"/>
        <v>80.10301657142858</v>
      </c>
      <c r="G54" s="1"/>
    </row>
    <row r="55" spans="1:7" ht="14.25" customHeight="1">
      <c r="A55" s="221">
        <v>620000</v>
      </c>
      <c r="B55" s="163" t="s">
        <v>313</v>
      </c>
      <c r="C55" s="195">
        <f>SUM(C56:C57)</f>
        <v>6881727.9799999995</v>
      </c>
      <c r="D55" s="195">
        <f>SUM(D56:D57)</f>
        <v>6129363.72</v>
      </c>
      <c r="E55" s="284">
        <f t="shared" si="1"/>
        <v>89.06721884116088</v>
      </c>
      <c r="G55" s="1"/>
    </row>
    <row r="56" spans="1:7" ht="15.75" customHeight="1">
      <c r="A56" s="76">
        <v>621000</v>
      </c>
      <c r="B56" s="87" t="s">
        <v>524</v>
      </c>
      <c r="C56" s="69">
        <f>Finansiranje!C15</f>
        <v>6793227.9799999995</v>
      </c>
      <c r="D56" s="69">
        <f>Finansiranje!D15</f>
        <v>6129363.72</v>
      </c>
      <c r="E56" s="287">
        <f t="shared" si="1"/>
        <v>90.22755806290488</v>
      </c>
      <c r="G56" s="1"/>
    </row>
    <row r="57" spans="1:7" ht="15.75" customHeight="1">
      <c r="A57" s="76">
        <v>628000</v>
      </c>
      <c r="B57" s="87" t="s">
        <v>519</v>
      </c>
      <c r="C57" s="69">
        <f>Finansiranje!C18</f>
        <v>88500</v>
      </c>
      <c r="D57" s="69">
        <f>Finansiranje!D18</f>
        <v>0</v>
      </c>
      <c r="E57" s="287">
        <f t="shared" si="1"/>
        <v>0</v>
      </c>
      <c r="G57" s="1"/>
    </row>
    <row r="58" spans="1:7" ht="14.25" customHeight="1">
      <c r="A58" s="76"/>
      <c r="B58" s="115" t="s">
        <v>400</v>
      </c>
      <c r="C58" s="236">
        <f>C59-C62</f>
        <v>-3000</v>
      </c>
      <c r="D58" s="236">
        <f>D59-D62</f>
        <v>10641.630000000001</v>
      </c>
      <c r="E58" s="519" t="s">
        <v>324</v>
      </c>
      <c r="G58" s="1"/>
    </row>
    <row r="59" spans="1:7" ht="14.25" customHeight="1">
      <c r="A59" s="221">
        <v>930000</v>
      </c>
      <c r="B59" s="163" t="s">
        <v>401</v>
      </c>
      <c r="C59" s="237">
        <f>SUM(C61)</f>
        <v>78000</v>
      </c>
      <c r="D59" s="237">
        <f>SUM(D60:D61)</f>
        <v>39967.46</v>
      </c>
      <c r="E59" s="284">
        <f t="shared" si="1"/>
        <v>51.24033333333333</v>
      </c>
      <c r="G59" s="1"/>
    </row>
    <row r="60" spans="1:7" ht="14.25" customHeight="1">
      <c r="A60" s="218">
        <v>931000</v>
      </c>
      <c r="B60" s="45" t="s">
        <v>402</v>
      </c>
      <c r="C60" s="272">
        <f>Finansiranje!C23</f>
        <v>0</v>
      </c>
      <c r="D60" s="272">
        <f>Finansiranje!D23</f>
        <v>4925</v>
      </c>
      <c r="E60" s="287">
        <f t="shared" si="1"/>
        <v>0</v>
      </c>
      <c r="G60" s="1"/>
    </row>
    <row r="61" spans="1:7" ht="14.25" customHeight="1">
      <c r="A61" s="218">
        <v>938000</v>
      </c>
      <c r="B61" s="87" t="s">
        <v>465</v>
      </c>
      <c r="C61" s="185">
        <f>Finansiranje!C24</f>
        <v>78000</v>
      </c>
      <c r="D61" s="185">
        <f>Finansiranje!D24</f>
        <v>35042.46</v>
      </c>
      <c r="E61" s="287">
        <f t="shared" si="1"/>
        <v>44.92623076923077</v>
      </c>
      <c r="G61" s="1"/>
    </row>
    <row r="62" spans="1:7" ht="14.25" customHeight="1">
      <c r="A62" s="221">
        <v>630000</v>
      </c>
      <c r="B62" s="163" t="s">
        <v>403</v>
      </c>
      <c r="C62" s="195">
        <f>SUM(C63:C64)</f>
        <v>81000</v>
      </c>
      <c r="D62" s="195">
        <f>SUM(D63:D64)</f>
        <v>29325.829999999998</v>
      </c>
      <c r="E62" s="284">
        <f t="shared" si="1"/>
        <v>36.20472839506172</v>
      </c>
      <c r="G62" s="1"/>
    </row>
    <row r="63" spans="1:7" ht="14.25" customHeight="1">
      <c r="A63" s="76">
        <v>631000</v>
      </c>
      <c r="B63" s="87" t="s">
        <v>404</v>
      </c>
      <c r="C63" s="69">
        <f>Finansiranje!C28</f>
        <v>3000</v>
      </c>
      <c r="D63" s="69">
        <f>Finansiranje!D28</f>
        <v>569.42</v>
      </c>
      <c r="E63" s="287">
        <f t="shared" si="1"/>
        <v>18.980666666666664</v>
      </c>
      <c r="G63" s="1"/>
    </row>
    <row r="64" spans="1:7" ht="14.25" customHeight="1">
      <c r="A64" s="76">
        <v>638000</v>
      </c>
      <c r="B64" s="87" t="s">
        <v>411</v>
      </c>
      <c r="C64" s="69">
        <f>Finansiranje!C30</f>
        <v>78000</v>
      </c>
      <c r="D64" s="69">
        <f>Finansiranje!D30</f>
        <v>28756.41</v>
      </c>
      <c r="E64" s="287">
        <f t="shared" si="1"/>
        <v>36.86719230769231</v>
      </c>
      <c r="G64" s="1"/>
    </row>
    <row r="65" spans="1:7" ht="21.75" customHeight="1">
      <c r="A65" s="76"/>
      <c r="B65" s="211" t="s">
        <v>406</v>
      </c>
      <c r="C65" s="236">
        <f>Finansiranje!C33</f>
        <v>499381.85</v>
      </c>
      <c r="D65" s="236">
        <f>Finansiranje!D33</f>
        <v>194509.84000000003</v>
      </c>
      <c r="E65" s="220">
        <f t="shared" si="1"/>
        <v>38.95012203587296</v>
      </c>
      <c r="G65" s="1"/>
    </row>
    <row r="66" spans="1:7" ht="20.25" customHeight="1" thickBot="1">
      <c r="A66" s="219"/>
      <c r="B66" s="223" t="s">
        <v>405</v>
      </c>
      <c r="C66" s="212">
        <f>C45+C46</f>
        <v>0</v>
      </c>
      <c r="D66" s="212">
        <f>D45+D46</f>
        <v>121811.61000000045</v>
      </c>
      <c r="E66" s="508" t="s">
        <v>324</v>
      </c>
      <c r="G66" s="1"/>
    </row>
    <row r="67" spans="1:5" ht="18" customHeight="1" thickTop="1">
      <c r="A67" s="145"/>
      <c r="B67" s="143"/>
      <c r="C67" s="146"/>
      <c r="D67" s="146"/>
      <c r="E67" s="146"/>
    </row>
    <row r="68" spans="1:5" ht="18" customHeight="1">
      <c r="A68" s="3"/>
      <c r="B68" s="143"/>
      <c r="C68" s="143"/>
      <c r="D68" s="143"/>
      <c r="E68" s="143"/>
    </row>
    <row r="69" spans="1:5" ht="14.25" customHeight="1">
      <c r="A69" s="3"/>
      <c r="B69" s="143"/>
      <c r="C69" s="143"/>
      <c r="D69" s="143"/>
      <c r="E69" s="143"/>
    </row>
    <row r="70" spans="1:8" ht="16.5" customHeight="1">
      <c r="A70" s="3"/>
      <c r="B70" s="345"/>
      <c r="C70" s="143"/>
      <c r="D70" s="143"/>
      <c r="E70" s="143"/>
      <c r="H70" s="1"/>
    </row>
    <row r="71" spans="1:5" ht="16.5" customHeight="1">
      <c r="A71" s="4"/>
      <c r="C71" s="146"/>
      <c r="D71" s="146"/>
      <c r="E71" s="146"/>
    </row>
    <row r="72" spans="1:2" ht="15.75" customHeight="1">
      <c r="A72" s="146"/>
      <c r="B72" s="146"/>
    </row>
    <row r="73" spans="1:2" ht="12.75">
      <c r="A73" s="146"/>
      <c r="B73" s="146"/>
    </row>
    <row r="74" spans="1:5" ht="17.25" customHeight="1">
      <c r="A74" s="146"/>
      <c r="B74" s="146"/>
      <c r="C74" s="146"/>
      <c r="D74" s="146"/>
      <c r="E74" s="146"/>
    </row>
    <row r="75" spans="1:5" ht="12.75">
      <c r="A75" s="146"/>
      <c r="B75" s="146"/>
      <c r="C75" s="146"/>
      <c r="D75" s="146"/>
      <c r="E75" s="146"/>
    </row>
    <row r="76" spans="1:5" ht="12.75">
      <c r="A76" s="146"/>
      <c r="B76" s="146"/>
      <c r="C76" s="147"/>
      <c r="D76" s="147"/>
      <c r="E76" s="147"/>
    </row>
    <row r="77" spans="1:2" ht="12.75">
      <c r="A77" s="146"/>
      <c r="B77" s="146"/>
    </row>
    <row r="78" spans="1:2" ht="23.25" customHeight="1">
      <c r="A78" s="146"/>
      <c r="B78" s="146"/>
    </row>
    <row r="79" spans="1:2" ht="16.5" customHeight="1">
      <c r="A79" s="146"/>
      <c r="B79" s="146"/>
    </row>
    <row r="80" spans="1:2" ht="12.75">
      <c r="A80" s="146"/>
      <c r="B80" s="146"/>
    </row>
    <row r="81" spans="1:2" ht="12.75">
      <c r="A81" s="146"/>
      <c r="B81" s="146"/>
    </row>
    <row r="82" spans="1:2" ht="15" customHeight="1">
      <c r="A82" s="146"/>
      <c r="B82" s="146"/>
    </row>
    <row r="83" spans="1:2" ht="12.75">
      <c r="A83" s="146"/>
      <c r="B83" s="146"/>
    </row>
    <row r="84" spans="1:2" ht="26.25" customHeight="1">
      <c r="A84" s="146"/>
      <c r="B84" s="146"/>
    </row>
    <row r="85" spans="1:2" ht="12.75">
      <c r="A85" s="146"/>
      <c r="B85" s="146"/>
    </row>
    <row r="86" spans="1:2" ht="12.75">
      <c r="A86" s="146"/>
      <c r="B86" s="146"/>
    </row>
    <row r="87" spans="1:2" ht="12.75">
      <c r="A87" s="146"/>
      <c r="B87" s="146"/>
    </row>
    <row r="88" spans="1:2" ht="12.75">
      <c r="A88" s="146"/>
      <c r="B88" s="146"/>
    </row>
    <row r="89" spans="1:2" ht="12.75">
      <c r="A89" s="146"/>
      <c r="B89" s="146"/>
    </row>
    <row r="90" spans="1:2" ht="12.75">
      <c r="A90" s="146"/>
      <c r="B90" s="146"/>
    </row>
    <row r="91" spans="1:2" ht="15.75" customHeight="1">
      <c r="A91" s="146"/>
      <c r="B91" s="146"/>
    </row>
    <row r="92" spans="1:6" ht="12.75">
      <c r="A92" s="146"/>
      <c r="B92" s="146"/>
      <c r="F92" s="2"/>
    </row>
    <row r="93" spans="1:2" ht="12.75">
      <c r="A93" s="146"/>
      <c r="B93" s="146"/>
    </row>
    <row r="94" spans="1:2" ht="12.75">
      <c r="A94" s="146"/>
      <c r="B94" s="146"/>
    </row>
    <row r="95" spans="1:2" ht="12.75" customHeight="1">
      <c r="A95" s="146"/>
      <c r="B95" s="146"/>
    </row>
    <row r="96" spans="1:2" ht="12.75">
      <c r="A96" s="146"/>
      <c r="B96" s="146"/>
    </row>
    <row r="97" spans="1:2" ht="12.75">
      <c r="A97" s="146"/>
      <c r="B97" s="146"/>
    </row>
    <row r="98" spans="1:2" ht="12.75">
      <c r="A98" s="146"/>
      <c r="B98" s="146"/>
    </row>
    <row r="99" spans="1:2" ht="12.75">
      <c r="A99" s="146"/>
      <c r="B99" s="146"/>
    </row>
    <row r="100" spans="1:2" ht="12.75">
      <c r="A100" s="146"/>
      <c r="B100" s="146"/>
    </row>
    <row r="101" spans="1:2" ht="12.75">
      <c r="A101" s="146"/>
      <c r="B101" s="146"/>
    </row>
    <row r="102" spans="1:2" ht="12.75">
      <c r="A102" s="146"/>
      <c r="B102" s="146"/>
    </row>
    <row r="103" spans="1:2" ht="12.75">
      <c r="A103" s="146"/>
      <c r="B103" s="146"/>
    </row>
    <row r="104" spans="1:2" ht="12.75">
      <c r="A104" s="146"/>
      <c r="B104" s="146"/>
    </row>
    <row r="105" spans="1:2" ht="12.75">
      <c r="A105" s="146"/>
      <c r="B105" s="146"/>
    </row>
    <row r="106" spans="1:2" ht="12.75">
      <c r="A106" s="146"/>
      <c r="B106" s="146"/>
    </row>
    <row r="107" spans="1:2" ht="12.75">
      <c r="A107" s="146"/>
      <c r="B107" s="146"/>
    </row>
    <row r="108" spans="1:7" s="144" customFormat="1" ht="12.75">
      <c r="A108" s="146"/>
      <c r="B108" s="146"/>
      <c r="F108"/>
      <c r="G108"/>
    </row>
    <row r="109" spans="1:7" s="144" customFormat="1" ht="12.75">
      <c r="A109" s="146"/>
      <c r="B109" s="146"/>
      <c r="F109"/>
      <c r="G109"/>
    </row>
    <row r="110" spans="1:7" s="144" customFormat="1" ht="12.75">
      <c r="A110" s="146"/>
      <c r="B110" s="146"/>
      <c r="F110"/>
      <c r="G110"/>
    </row>
    <row r="111" spans="1:7" s="144" customFormat="1" ht="12.75">
      <c r="A111" s="146"/>
      <c r="B111" s="146"/>
      <c r="F111"/>
      <c r="G111"/>
    </row>
    <row r="112" spans="1:7" s="144" customFormat="1" ht="12.75">
      <c r="A112" s="146"/>
      <c r="B112" s="146"/>
      <c r="F112"/>
      <c r="G112"/>
    </row>
    <row r="113" spans="1:7" s="144" customFormat="1" ht="12.75">
      <c r="A113" s="146"/>
      <c r="B113" s="146"/>
      <c r="F113"/>
      <c r="G113"/>
    </row>
    <row r="114" spans="1:7" s="144" customFormat="1" ht="12.75">
      <c r="A114" s="146"/>
      <c r="B114" s="146"/>
      <c r="F114"/>
      <c r="G114"/>
    </row>
    <row r="115" spans="1:7" s="144" customFormat="1" ht="12.75">
      <c r="A115" s="146"/>
      <c r="B115" s="146"/>
      <c r="F115"/>
      <c r="G115"/>
    </row>
    <row r="116" spans="1:7" s="144" customFormat="1" ht="12.75">
      <c r="A116" s="146"/>
      <c r="B116" s="146"/>
      <c r="F116"/>
      <c r="G116"/>
    </row>
    <row r="117" spans="1:7" s="144" customFormat="1" ht="12.75">
      <c r="A117" s="146"/>
      <c r="B117" s="146"/>
      <c r="F117"/>
      <c r="G117"/>
    </row>
    <row r="118" spans="1:7" s="144" customFormat="1" ht="12.75">
      <c r="A118" s="146"/>
      <c r="B118" s="146"/>
      <c r="F118"/>
      <c r="G118"/>
    </row>
    <row r="119" spans="1:7" s="144" customFormat="1" ht="12.75">
      <c r="A119" s="146"/>
      <c r="B119" s="146"/>
      <c r="F119"/>
      <c r="G119"/>
    </row>
    <row r="120" spans="1:7" s="144" customFormat="1" ht="12.75">
      <c r="A120" s="146"/>
      <c r="B120" s="146"/>
      <c r="F120"/>
      <c r="G120"/>
    </row>
    <row r="121" spans="1:7" s="144" customFormat="1" ht="12.75">
      <c r="A121" s="146"/>
      <c r="B121" s="146"/>
      <c r="F121"/>
      <c r="G121"/>
    </row>
    <row r="122" spans="1:7" s="144" customFormat="1" ht="12.75">
      <c r="A122" s="146"/>
      <c r="B122" s="146"/>
      <c r="F122"/>
      <c r="G122"/>
    </row>
    <row r="123" spans="1:7" s="144" customFormat="1" ht="12.75">
      <c r="A123" s="146"/>
      <c r="B123" s="146"/>
      <c r="F123"/>
      <c r="G123"/>
    </row>
    <row r="124" spans="1:7" s="144" customFormat="1" ht="12.75">
      <c r="A124" s="146"/>
      <c r="B124" s="146"/>
      <c r="F124"/>
      <c r="G124"/>
    </row>
    <row r="125" spans="1:7" s="144" customFormat="1" ht="12.75">
      <c r="A125" s="146"/>
      <c r="B125" s="146"/>
      <c r="F125"/>
      <c r="G125"/>
    </row>
    <row r="126" spans="1:7" s="144" customFormat="1" ht="12.75">
      <c r="A126" s="146"/>
      <c r="B126" s="146"/>
      <c r="F126"/>
      <c r="G126"/>
    </row>
    <row r="127" spans="1:7" s="144" customFormat="1" ht="12.75">
      <c r="A127" s="146"/>
      <c r="B127" s="146"/>
      <c r="F127"/>
      <c r="G127"/>
    </row>
    <row r="128" spans="1:7" s="144" customFormat="1" ht="12.75">
      <c r="A128" s="146"/>
      <c r="B128" s="146"/>
      <c r="F128"/>
      <c r="G128"/>
    </row>
    <row r="129" spans="1:7" s="144" customFormat="1" ht="12.75">
      <c r="A129" s="146"/>
      <c r="B129" s="146"/>
      <c r="F129"/>
      <c r="G129"/>
    </row>
    <row r="130" spans="1:7" s="144" customFormat="1" ht="12.75">
      <c r="A130" s="146"/>
      <c r="B130" s="146"/>
      <c r="F130"/>
      <c r="G130"/>
    </row>
    <row r="131" spans="1:7" s="144" customFormat="1" ht="12.75">
      <c r="A131" s="146"/>
      <c r="B131" s="146"/>
      <c r="F131"/>
      <c r="G131"/>
    </row>
    <row r="132" spans="1:7" s="144" customFormat="1" ht="12.75">
      <c r="A132" s="146"/>
      <c r="B132" s="146"/>
      <c r="F132"/>
      <c r="G132"/>
    </row>
    <row r="133" spans="1:7" s="144" customFormat="1" ht="12.75">
      <c r="A133" s="146"/>
      <c r="B133" s="146"/>
      <c r="F133"/>
      <c r="G133"/>
    </row>
    <row r="134" spans="1:7" s="144" customFormat="1" ht="12.75">
      <c r="A134" s="146"/>
      <c r="B134" s="146"/>
      <c r="F134"/>
      <c r="G134"/>
    </row>
    <row r="135" spans="1:7" s="144" customFormat="1" ht="12.75">
      <c r="A135" s="146"/>
      <c r="B135" s="146"/>
      <c r="F135"/>
      <c r="G135"/>
    </row>
    <row r="136" spans="1:7" s="144" customFormat="1" ht="12.75">
      <c r="A136" s="146"/>
      <c r="B136" s="146"/>
      <c r="F136"/>
      <c r="G136"/>
    </row>
    <row r="137" spans="1:7" s="144" customFormat="1" ht="12.75">
      <c r="A137" s="146"/>
      <c r="B137" s="146"/>
      <c r="F137"/>
      <c r="G137"/>
    </row>
    <row r="138" spans="1:7" s="144" customFormat="1" ht="12.75">
      <c r="A138" s="146"/>
      <c r="B138" s="146"/>
      <c r="F138"/>
      <c r="G138"/>
    </row>
    <row r="139" spans="1:7" s="144" customFormat="1" ht="12.75">
      <c r="A139" s="146"/>
      <c r="B139" s="146"/>
      <c r="F139"/>
      <c r="G139"/>
    </row>
    <row r="140" spans="1:5" ht="12.75">
      <c r="A140" s="146"/>
      <c r="B140" s="3"/>
      <c r="C140" s="146"/>
      <c r="D140" s="146"/>
      <c r="E140" s="146"/>
    </row>
    <row r="141" spans="1:5" ht="12.75">
      <c r="A141" s="4"/>
      <c r="B141" s="3"/>
      <c r="C141" s="146"/>
      <c r="D141" s="146"/>
      <c r="E141" s="146"/>
    </row>
    <row r="142" spans="1:5" ht="12.75">
      <c r="A142" s="4"/>
      <c r="B142" s="3"/>
      <c r="C142" s="146"/>
      <c r="D142" s="146"/>
      <c r="E142" s="146"/>
    </row>
    <row r="143" spans="1:5" ht="12.75">
      <c r="A143" s="4"/>
      <c r="B143" s="3"/>
      <c r="C143" s="146"/>
      <c r="D143" s="146"/>
      <c r="E143" s="146"/>
    </row>
    <row r="144" spans="1:5" ht="12.75">
      <c r="A144" s="4"/>
      <c r="B144" s="3"/>
      <c r="C144" s="146"/>
      <c r="D144" s="146"/>
      <c r="E144" s="146"/>
    </row>
    <row r="145" spans="1:5" ht="12.75">
      <c r="A145" s="4"/>
      <c r="B145" s="3"/>
      <c r="C145" s="146"/>
      <c r="D145" s="146"/>
      <c r="E145" s="146"/>
    </row>
    <row r="146" spans="1:5" ht="12.75">
      <c r="A146" s="4"/>
      <c r="B146" s="3"/>
      <c r="C146" s="146"/>
      <c r="D146" s="146"/>
      <c r="E146" s="146"/>
    </row>
    <row r="147" spans="1:5" ht="12.75">
      <c r="A147" s="4"/>
      <c r="B147" s="3"/>
      <c r="C147" s="146"/>
      <c r="D147" s="146"/>
      <c r="E147" s="146"/>
    </row>
    <row r="148" spans="1:5" ht="12.75">
      <c r="A148" s="4"/>
      <c r="B148" s="3"/>
      <c r="C148" s="146"/>
      <c r="D148" s="146"/>
      <c r="E148" s="146"/>
    </row>
    <row r="149" spans="1:5" ht="12.75">
      <c r="A149" s="4"/>
      <c r="B149" s="3"/>
      <c r="C149" s="146"/>
      <c r="D149" s="146"/>
      <c r="E149" s="146"/>
    </row>
    <row r="150" spans="1:5" ht="12.75">
      <c r="A150" s="4"/>
      <c r="B150" s="3"/>
      <c r="C150" s="146"/>
      <c r="D150" s="146"/>
      <c r="E150" s="146"/>
    </row>
    <row r="151" spans="1:5" ht="12.75">
      <c r="A151" s="4"/>
      <c r="B151" s="3"/>
      <c r="C151" s="146"/>
      <c r="D151" s="146"/>
      <c r="E151" s="146"/>
    </row>
    <row r="152" spans="1:6" s="144" customFormat="1" ht="12.75">
      <c r="A152" s="4"/>
      <c r="B152" s="3"/>
      <c r="C152" s="146"/>
      <c r="D152" s="146"/>
      <c r="E152" s="146"/>
      <c r="F152"/>
    </row>
    <row r="153" spans="1:6" s="144" customFormat="1" ht="12.75">
      <c r="A153" s="4"/>
      <c r="B153" s="3"/>
      <c r="C153" s="146"/>
      <c r="D153" s="146"/>
      <c r="E153" s="146"/>
      <c r="F153"/>
    </row>
    <row r="154" spans="1:6" s="144" customFormat="1" ht="12.75">
      <c r="A154" s="4"/>
      <c r="B154" s="3"/>
      <c r="C154" s="146"/>
      <c r="D154" s="146"/>
      <c r="E154" s="146"/>
      <c r="F154"/>
    </row>
    <row r="155" spans="1:6" s="144" customFormat="1" ht="12.75">
      <c r="A155" s="4"/>
      <c r="B155" s="3"/>
      <c r="C155" s="146"/>
      <c r="D155" s="146"/>
      <c r="E155" s="146"/>
      <c r="F155"/>
    </row>
    <row r="156" spans="1:6" s="144" customFormat="1" ht="12.75">
      <c r="A156" s="4"/>
      <c r="B156" s="3"/>
      <c r="C156" s="146"/>
      <c r="D156" s="146"/>
      <c r="E156" s="146"/>
      <c r="F156"/>
    </row>
    <row r="157" spans="1:6" s="144" customFormat="1" ht="12.75">
      <c r="A157" s="4"/>
      <c r="B157" s="3"/>
      <c r="C157" s="146"/>
      <c r="D157" s="146"/>
      <c r="E157" s="146"/>
      <c r="F157"/>
    </row>
    <row r="158" spans="1:6" s="144" customFormat="1" ht="12.75">
      <c r="A158" s="4"/>
      <c r="B158" s="3"/>
      <c r="C158" s="146"/>
      <c r="D158" s="146"/>
      <c r="E158" s="146"/>
      <c r="F158"/>
    </row>
    <row r="159" spans="1:6" s="144" customFormat="1" ht="12.75">
      <c r="A159" s="4"/>
      <c r="B159" s="3"/>
      <c r="C159" s="146"/>
      <c r="D159" s="146"/>
      <c r="E159" s="146"/>
      <c r="F159"/>
    </row>
    <row r="160" spans="1:6" s="144" customFormat="1" ht="12.75">
      <c r="A160" s="4"/>
      <c r="B160" s="3"/>
      <c r="C160" s="146"/>
      <c r="D160" s="146"/>
      <c r="E160" s="146"/>
      <c r="F160"/>
    </row>
    <row r="161" spans="1:6" s="144" customFormat="1" ht="12.75">
      <c r="A161" s="4"/>
      <c r="B161" s="3"/>
      <c r="C161" s="146"/>
      <c r="D161" s="146"/>
      <c r="E161" s="146"/>
      <c r="F161"/>
    </row>
    <row r="162" spans="1:6" s="144" customFormat="1" ht="12.75">
      <c r="A162" s="4"/>
      <c r="B162" s="3"/>
      <c r="C162" s="146"/>
      <c r="D162" s="146"/>
      <c r="E162" s="146"/>
      <c r="F162"/>
    </row>
    <row r="163" spans="1:6" s="144" customFormat="1" ht="12.75">
      <c r="A163" s="4"/>
      <c r="B163" s="3"/>
      <c r="C163" s="146"/>
      <c r="D163" s="146"/>
      <c r="E163" s="146"/>
      <c r="F163"/>
    </row>
    <row r="164" spans="1:6" s="144" customFormat="1" ht="12.75">
      <c r="A164" s="4"/>
      <c r="B164" s="3"/>
      <c r="C164" s="146"/>
      <c r="D164" s="146"/>
      <c r="E164" s="146"/>
      <c r="F164"/>
    </row>
    <row r="165" spans="1:6" s="144" customFormat="1" ht="12.75">
      <c r="A165" s="4"/>
      <c r="B165" s="3"/>
      <c r="C165" s="146"/>
      <c r="D165" s="146"/>
      <c r="E165" s="146"/>
      <c r="F165"/>
    </row>
    <row r="166" spans="1:6" s="144" customFormat="1" ht="12.75">
      <c r="A166" s="4"/>
      <c r="B166"/>
      <c r="C166" s="146"/>
      <c r="D166" s="146"/>
      <c r="E166" s="146"/>
      <c r="F166"/>
    </row>
  </sheetData>
  <sheetProtection/>
  <mergeCells count="6">
    <mergeCell ref="A1:E1"/>
    <mergeCell ref="A2:A3"/>
    <mergeCell ref="B2:B3"/>
    <mergeCell ref="D2:D3"/>
    <mergeCell ref="C2:C3"/>
    <mergeCell ref="E2:E3"/>
  </mergeCells>
  <printOptions horizontalCentered="1"/>
  <pageMargins left="0.15748031496062992" right="0.15748031496062992" top="0.35433070866141736" bottom="0.2755905511811024" header="0.2755905511811024" footer="0.15748031496062992"/>
  <pageSetup horizontalDpi="600" verticalDpi="600" orientation="landscape" paperSize="9" scale="110" r:id="rId1"/>
  <headerFooter alignWithMargins="0">
    <oddFooter>&amp;R&amp;P</oddFooter>
  </headerFooter>
  <rowBreaks count="2" manualBreakCount="2">
    <brk id="29" max="6" man="1"/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">
      <pane ySplit="3" topLeftCell="A4" activePane="bottomLeft" state="frozen"/>
      <selection pane="topLeft" activeCell="B41" sqref="B41"/>
      <selection pane="bottomLeft" activeCell="C91" sqref="C91:F95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60.57421875" style="0" customWidth="1"/>
    <col min="4" max="4" width="16.7109375" style="0" hidden="1" customWidth="1"/>
    <col min="5" max="5" width="16.140625" style="144" customWidth="1"/>
    <col min="6" max="6" width="15.421875" style="144" customWidth="1"/>
    <col min="7" max="7" width="10.140625" style="144" customWidth="1"/>
    <col min="8" max="8" width="10.140625" style="144" hidden="1" customWidth="1"/>
    <col min="9" max="9" width="10.7109375" style="144" customWidth="1"/>
    <col min="10" max="10" width="18.421875" style="0" customWidth="1"/>
    <col min="11" max="11" width="14.00390625" style="385" customWidth="1"/>
    <col min="12" max="12" width="16.7109375" style="0" customWidth="1"/>
    <col min="13" max="13" width="14.8515625" style="0" customWidth="1"/>
    <col min="14" max="14" width="11.00390625" style="0" bestFit="1" customWidth="1"/>
  </cols>
  <sheetData>
    <row r="1" spans="1:9" ht="39.75" customHeight="1" thickBot="1">
      <c r="A1" s="523" t="s">
        <v>549</v>
      </c>
      <c r="B1" s="523"/>
      <c r="C1" s="523"/>
      <c r="D1" s="523"/>
      <c r="E1" s="523"/>
      <c r="F1" s="523"/>
      <c r="G1" s="523"/>
      <c r="H1" s="523"/>
      <c r="I1" s="523"/>
    </row>
    <row r="2" spans="1:9" ht="18.75" customHeight="1" thickTop="1">
      <c r="A2" s="536" t="s">
        <v>63</v>
      </c>
      <c r="B2" s="526" t="s">
        <v>299</v>
      </c>
      <c r="C2" s="526" t="s">
        <v>233</v>
      </c>
      <c r="D2" s="538" t="s">
        <v>558</v>
      </c>
      <c r="E2" s="532" t="s">
        <v>484</v>
      </c>
      <c r="F2" s="528" t="s">
        <v>550</v>
      </c>
      <c r="G2" s="528" t="s">
        <v>118</v>
      </c>
      <c r="H2" s="528" t="s">
        <v>118</v>
      </c>
      <c r="I2" s="534" t="s">
        <v>131</v>
      </c>
    </row>
    <row r="3" spans="1:9" ht="44.25" customHeight="1">
      <c r="A3" s="537"/>
      <c r="B3" s="527"/>
      <c r="C3" s="527"/>
      <c r="D3" s="539"/>
      <c r="E3" s="533"/>
      <c r="F3" s="529"/>
      <c r="G3" s="529"/>
      <c r="H3" s="529"/>
      <c r="I3" s="535"/>
    </row>
    <row r="4" spans="1:11" s="5" customFormat="1" ht="12.75" customHeight="1">
      <c r="A4" s="292">
        <v>1</v>
      </c>
      <c r="B4" s="110">
        <v>2</v>
      </c>
      <c r="C4" s="110">
        <v>3</v>
      </c>
      <c r="D4" s="110">
        <v>4</v>
      </c>
      <c r="E4" s="110">
        <v>4</v>
      </c>
      <c r="F4" s="110">
        <v>5</v>
      </c>
      <c r="G4" s="110" t="s">
        <v>560</v>
      </c>
      <c r="H4" s="235" t="s">
        <v>559</v>
      </c>
      <c r="I4" s="111">
        <v>7</v>
      </c>
      <c r="K4" s="386"/>
    </row>
    <row r="5" spans="1:12" ht="19.5" customHeight="1">
      <c r="A5" s="293"/>
      <c r="B5" s="26"/>
      <c r="C5" s="160" t="s">
        <v>300</v>
      </c>
      <c r="D5" s="161">
        <f>D6+D21+D65+D73</f>
        <v>6300899.9799999995</v>
      </c>
      <c r="E5" s="161">
        <f>E6+E21+E65+E73</f>
        <v>13552000</v>
      </c>
      <c r="F5" s="161">
        <f>F6+F21+F65+F73</f>
        <v>6517517.329999999</v>
      </c>
      <c r="G5" s="161">
        <f>IF(E5&gt;0,F5/E5*100,0)</f>
        <v>48.092660345336476</v>
      </c>
      <c r="H5" s="250">
        <f>IF(D5&gt;0,F5/D5*100,0)</f>
        <v>103.43787952018879</v>
      </c>
      <c r="I5" s="215">
        <f aca="true" t="shared" si="0" ref="I5:I36">F5/$F$88*100</f>
        <v>99.23987588578701</v>
      </c>
      <c r="J5" s="1"/>
      <c r="L5" s="1"/>
    </row>
    <row r="6" spans="1:10" ht="15" customHeight="1">
      <c r="A6" s="294">
        <v>710000</v>
      </c>
      <c r="B6" s="24"/>
      <c r="C6" s="55" t="s">
        <v>250</v>
      </c>
      <c r="D6" s="67">
        <f>D7+D9+D12+D14+D17+D19</f>
        <v>4429840.67</v>
      </c>
      <c r="E6" s="67">
        <f>E7+E9+E12+E14+E17+E19</f>
        <v>10030000</v>
      </c>
      <c r="F6" s="67">
        <f>F7+F9+F12+F14+F17+F19</f>
        <v>4815563.13</v>
      </c>
      <c r="G6" s="67">
        <f aca="true" t="shared" si="1" ref="G6:G69">IF(E6&gt;0,F6/E6*100,0)</f>
        <v>48.01159651046859</v>
      </c>
      <c r="H6" s="513">
        <f aca="true" t="shared" si="2" ref="H6:H69">IF(D6&gt;0,F6/D6*100,0)</f>
        <v>108.70736644349783</v>
      </c>
      <c r="I6" s="414">
        <f t="shared" si="0"/>
        <v>73.32483569190174</v>
      </c>
      <c r="J6" s="1"/>
    </row>
    <row r="7" spans="1:10" ht="14.25" customHeight="1">
      <c r="A7" s="295">
        <v>711100</v>
      </c>
      <c r="B7" s="32"/>
      <c r="C7" s="81" t="s">
        <v>211</v>
      </c>
      <c r="D7" s="88">
        <f>SUM(D8)</f>
        <v>609.83</v>
      </c>
      <c r="E7" s="88">
        <f>SUM(E8)</f>
        <v>3000</v>
      </c>
      <c r="F7" s="88">
        <f>SUM(F8)</f>
        <v>364.53</v>
      </c>
      <c r="G7" s="88">
        <f t="shared" si="1"/>
        <v>12.151</v>
      </c>
      <c r="H7" s="237">
        <f t="shared" si="2"/>
        <v>59.775675188167185</v>
      </c>
      <c r="I7" s="415">
        <f t="shared" si="0"/>
        <v>0.005550566285436473</v>
      </c>
      <c r="J7" s="1"/>
    </row>
    <row r="8" spans="1:10" ht="14.25" customHeight="1">
      <c r="A8" s="296">
        <v>711113</v>
      </c>
      <c r="B8" s="18"/>
      <c r="C8" s="93" t="s">
        <v>251</v>
      </c>
      <c r="D8" s="39">
        <v>609.83</v>
      </c>
      <c r="E8" s="69">
        <v>3000</v>
      </c>
      <c r="F8" s="271">
        <v>364.53</v>
      </c>
      <c r="G8" s="271">
        <f t="shared" si="1"/>
        <v>12.151</v>
      </c>
      <c r="H8" s="272">
        <f t="shared" si="2"/>
        <v>59.775675188167185</v>
      </c>
      <c r="I8" s="291">
        <f t="shared" si="0"/>
        <v>0.005550566285436473</v>
      </c>
      <c r="J8" s="1"/>
    </row>
    <row r="9" spans="1:12" ht="15.75" customHeight="1">
      <c r="A9" s="294">
        <v>713000</v>
      </c>
      <c r="B9" s="24"/>
      <c r="C9" s="27" t="s">
        <v>5</v>
      </c>
      <c r="D9" s="88">
        <f>SUM(D10:D11)</f>
        <v>542725.1</v>
      </c>
      <c r="E9" s="88">
        <f>SUM(E10:E11)</f>
        <v>1160000</v>
      </c>
      <c r="F9" s="88">
        <f>SUM(F10:F11)</f>
        <v>600173.83</v>
      </c>
      <c r="G9" s="88">
        <f t="shared" si="1"/>
        <v>51.73912327586206</v>
      </c>
      <c r="H9" s="237">
        <f t="shared" si="2"/>
        <v>110.58523550873176</v>
      </c>
      <c r="I9" s="415">
        <f t="shared" si="0"/>
        <v>9.138629539953588</v>
      </c>
      <c r="J9" s="1"/>
      <c r="L9" s="1"/>
    </row>
    <row r="10" spans="1:10" ht="14.25" customHeight="1">
      <c r="A10" s="296" t="s">
        <v>6</v>
      </c>
      <c r="B10" s="18"/>
      <c r="C10" s="28" t="s">
        <v>252</v>
      </c>
      <c r="D10" s="68">
        <v>79081.74</v>
      </c>
      <c r="E10" s="68">
        <v>165000</v>
      </c>
      <c r="F10" s="271">
        <v>92073.85</v>
      </c>
      <c r="G10" s="271">
        <f t="shared" si="1"/>
        <v>55.80233333333333</v>
      </c>
      <c r="H10" s="272">
        <f t="shared" si="2"/>
        <v>116.4287103445119</v>
      </c>
      <c r="I10" s="291">
        <f t="shared" si="0"/>
        <v>1.4019751668733305</v>
      </c>
      <c r="J10" s="1"/>
    </row>
    <row r="11" spans="1:10" ht="14.25" customHeight="1">
      <c r="A11" s="296" t="s">
        <v>7</v>
      </c>
      <c r="B11" s="18"/>
      <c r="C11" s="30" t="s">
        <v>8</v>
      </c>
      <c r="D11" s="68">
        <v>463643.36</v>
      </c>
      <c r="E11" s="68">
        <v>995000</v>
      </c>
      <c r="F11" s="271">
        <v>508099.98</v>
      </c>
      <c r="G11" s="271">
        <f t="shared" si="1"/>
        <v>51.06532462311557</v>
      </c>
      <c r="H11" s="272">
        <f t="shared" si="2"/>
        <v>109.58853805217872</v>
      </c>
      <c r="I11" s="291">
        <f t="shared" si="0"/>
        <v>7.736654373080258</v>
      </c>
      <c r="J11" s="1"/>
    </row>
    <row r="12" spans="1:10" ht="14.25" customHeight="1">
      <c r="A12" s="294">
        <v>714000</v>
      </c>
      <c r="B12" s="24"/>
      <c r="C12" s="27" t="s">
        <v>9</v>
      </c>
      <c r="D12" s="88">
        <f>SUM(D13:D13)</f>
        <v>113189.57</v>
      </c>
      <c r="E12" s="88">
        <f>SUM(E13:E13)</f>
        <v>350000</v>
      </c>
      <c r="F12" s="88">
        <f>SUM(F13:F13)</f>
        <v>173143.12</v>
      </c>
      <c r="G12" s="88">
        <f t="shared" si="1"/>
        <v>49.46946285714285</v>
      </c>
      <c r="H12" s="237">
        <f t="shared" si="2"/>
        <v>152.96738029837906</v>
      </c>
      <c r="I12" s="415">
        <f t="shared" si="0"/>
        <v>2.636387579697917</v>
      </c>
      <c r="J12" s="1"/>
    </row>
    <row r="13" spans="1:10" ht="14.25" customHeight="1">
      <c r="A13" s="409" t="s">
        <v>482</v>
      </c>
      <c r="B13" s="24"/>
      <c r="C13" s="45" t="s">
        <v>430</v>
      </c>
      <c r="D13" s="69">
        <v>113189.57</v>
      </c>
      <c r="E13" s="69">
        <v>350000</v>
      </c>
      <c r="F13" s="271">
        <v>173143.12</v>
      </c>
      <c r="G13" s="271">
        <f t="shared" si="1"/>
        <v>49.46946285714285</v>
      </c>
      <c r="H13" s="272">
        <f t="shared" si="2"/>
        <v>152.96738029837906</v>
      </c>
      <c r="I13" s="291">
        <f t="shared" si="0"/>
        <v>2.636387579697917</v>
      </c>
      <c r="J13" s="1"/>
    </row>
    <row r="14" spans="1:10" ht="14.25" customHeight="1">
      <c r="A14" s="294">
        <v>715000</v>
      </c>
      <c r="B14" s="24"/>
      <c r="C14" s="27" t="s">
        <v>175</v>
      </c>
      <c r="D14" s="88">
        <f>SUM(D15:D16)</f>
        <v>2958.55</v>
      </c>
      <c r="E14" s="88">
        <f>SUM(E15:E16)</f>
        <v>55000</v>
      </c>
      <c r="F14" s="88">
        <f>SUM(F15:F16)</f>
        <v>58.66</v>
      </c>
      <c r="G14" s="88">
        <f t="shared" si="1"/>
        <v>0.10665454545454546</v>
      </c>
      <c r="H14" s="237">
        <f t="shared" si="2"/>
        <v>1.982728025553058</v>
      </c>
      <c r="I14" s="415">
        <f t="shared" si="0"/>
        <v>0.0008931945746679382</v>
      </c>
      <c r="J14" s="1"/>
    </row>
    <row r="15" spans="1:10" ht="14.25" customHeight="1">
      <c r="A15" s="297">
        <v>715110</v>
      </c>
      <c r="B15" s="38"/>
      <c r="C15" s="28" t="s">
        <v>10</v>
      </c>
      <c r="D15" s="68">
        <v>1853.69</v>
      </c>
      <c r="E15" s="68">
        <v>40000</v>
      </c>
      <c r="F15" s="271">
        <v>58.66</v>
      </c>
      <c r="G15" s="271">
        <f t="shared" si="1"/>
        <v>0.14665</v>
      </c>
      <c r="H15" s="272">
        <f t="shared" si="2"/>
        <v>3.164498918373622</v>
      </c>
      <c r="I15" s="291">
        <f t="shared" si="0"/>
        <v>0.0008931945746679382</v>
      </c>
      <c r="J15" s="384"/>
    </row>
    <row r="16" spans="1:10" ht="14.25" customHeight="1">
      <c r="A16" s="296">
        <v>715210</v>
      </c>
      <c r="B16" s="18"/>
      <c r="C16" s="30" t="s">
        <v>11</v>
      </c>
      <c r="D16" s="68">
        <v>1104.86</v>
      </c>
      <c r="E16" s="68">
        <v>15000</v>
      </c>
      <c r="F16" s="271">
        <v>0</v>
      </c>
      <c r="G16" s="271">
        <f t="shared" si="1"/>
        <v>0</v>
      </c>
      <c r="H16" s="272">
        <f t="shared" si="2"/>
        <v>0</v>
      </c>
      <c r="I16" s="291">
        <f t="shared" si="0"/>
        <v>0</v>
      </c>
      <c r="J16" s="1"/>
    </row>
    <row r="17" spans="1:10" ht="14.25" customHeight="1">
      <c r="A17" s="298">
        <v>717000</v>
      </c>
      <c r="B17" s="77"/>
      <c r="C17" s="80" t="s">
        <v>390</v>
      </c>
      <c r="D17" s="88">
        <f>SUM(D18)</f>
        <v>3765248.82</v>
      </c>
      <c r="E17" s="88">
        <f>SUM(E18)</f>
        <v>8450000</v>
      </c>
      <c r="F17" s="88">
        <f>SUM(F18)</f>
        <v>4040967.38</v>
      </c>
      <c r="G17" s="88">
        <f t="shared" si="1"/>
        <v>47.82209917159763</v>
      </c>
      <c r="H17" s="237">
        <f t="shared" si="2"/>
        <v>107.32271818360202</v>
      </c>
      <c r="I17" s="415">
        <f t="shared" si="0"/>
        <v>61.53034674780281</v>
      </c>
      <c r="J17" s="1"/>
    </row>
    <row r="18" spans="1:10" ht="14.25" customHeight="1">
      <c r="A18" s="299">
        <v>717191</v>
      </c>
      <c r="B18" s="38"/>
      <c r="C18" s="30" t="s">
        <v>431</v>
      </c>
      <c r="D18" s="69">
        <v>3765248.82</v>
      </c>
      <c r="E18" s="69">
        <v>8450000</v>
      </c>
      <c r="F18" s="271">
        <v>4040967.38</v>
      </c>
      <c r="G18" s="271">
        <f t="shared" si="1"/>
        <v>47.82209917159763</v>
      </c>
      <c r="H18" s="272">
        <f t="shared" si="2"/>
        <v>107.32271818360202</v>
      </c>
      <c r="I18" s="291">
        <f t="shared" si="0"/>
        <v>61.53034674780281</v>
      </c>
      <c r="J18" s="1"/>
    </row>
    <row r="19" spans="1:10" ht="14.25" customHeight="1">
      <c r="A19" s="294">
        <v>719000</v>
      </c>
      <c r="B19" s="24"/>
      <c r="C19" s="27" t="s">
        <v>391</v>
      </c>
      <c r="D19" s="88">
        <f>SUM(D20)</f>
        <v>5108.8</v>
      </c>
      <c r="E19" s="88">
        <f>SUM(E20)</f>
        <v>12000</v>
      </c>
      <c r="F19" s="88">
        <f>SUM(F20)</f>
        <v>855.61</v>
      </c>
      <c r="G19" s="88">
        <f t="shared" si="1"/>
        <v>7.130083333333334</v>
      </c>
      <c r="H19" s="237">
        <f t="shared" si="2"/>
        <v>16.747768556216723</v>
      </c>
      <c r="I19" s="415">
        <f t="shared" si="0"/>
        <v>0.013028063587310512</v>
      </c>
      <c r="J19" s="1"/>
    </row>
    <row r="20" spans="1:10" ht="14.25" customHeight="1">
      <c r="A20" s="296">
        <v>719113</v>
      </c>
      <c r="B20" s="18"/>
      <c r="C20" s="28" t="s">
        <v>12</v>
      </c>
      <c r="D20" s="68">
        <v>5108.8</v>
      </c>
      <c r="E20" s="68">
        <v>12000</v>
      </c>
      <c r="F20" s="271">
        <v>855.61</v>
      </c>
      <c r="G20" s="271">
        <f t="shared" si="1"/>
        <v>7.130083333333334</v>
      </c>
      <c r="H20" s="272">
        <f t="shared" si="2"/>
        <v>16.747768556216723</v>
      </c>
      <c r="I20" s="291">
        <f t="shared" si="0"/>
        <v>0.013028063587310512</v>
      </c>
      <c r="J20" s="1"/>
    </row>
    <row r="21" spans="1:12" ht="15" customHeight="1">
      <c r="A21" s="294">
        <v>720000</v>
      </c>
      <c r="B21" s="24"/>
      <c r="C21" s="55" t="s">
        <v>253</v>
      </c>
      <c r="D21" s="67">
        <f>D22+D29+D61+D63</f>
        <v>1396494.67</v>
      </c>
      <c r="E21" s="67">
        <f>E22+E29+E61+E63</f>
        <v>2544500</v>
      </c>
      <c r="F21" s="67">
        <f>F22+F29+F61+F63</f>
        <v>1228752.3099999998</v>
      </c>
      <c r="G21" s="67">
        <f t="shared" si="1"/>
        <v>48.29052112399292</v>
      </c>
      <c r="H21" s="513">
        <f t="shared" si="2"/>
        <v>87.98832794685853</v>
      </c>
      <c r="I21" s="414">
        <f t="shared" si="0"/>
        <v>18.709766397932093</v>
      </c>
      <c r="J21" s="1"/>
      <c r="L21" s="1"/>
    </row>
    <row r="22" spans="1:10" ht="14.25" customHeight="1">
      <c r="A22" s="294">
        <v>721000</v>
      </c>
      <c r="B22" s="24"/>
      <c r="C22" s="81" t="s">
        <v>176</v>
      </c>
      <c r="D22" s="88">
        <f>D23+D27</f>
        <v>59098.35</v>
      </c>
      <c r="E22" s="88">
        <f>E23+E27</f>
        <v>202000</v>
      </c>
      <c r="F22" s="88">
        <f>F23+F27</f>
        <v>119059.99</v>
      </c>
      <c r="G22" s="88">
        <f t="shared" si="1"/>
        <v>58.94058910891089</v>
      </c>
      <c r="H22" s="237">
        <f t="shared" si="2"/>
        <v>201.46076836324536</v>
      </c>
      <c r="I22" s="415">
        <f t="shared" si="0"/>
        <v>1.8128833468806511</v>
      </c>
      <c r="J22" s="1"/>
    </row>
    <row r="23" spans="1:13" ht="14.25" customHeight="1">
      <c r="A23" s="295">
        <v>721200</v>
      </c>
      <c r="B23" s="32"/>
      <c r="C23" s="27" t="s">
        <v>177</v>
      </c>
      <c r="D23" s="70">
        <f>SUM(D24:D26)</f>
        <v>54677.59</v>
      </c>
      <c r="E23" s="70">
        <f>SUM(E24:E26)</f>
        <v>190000</v>
      </c>
      <c r="F23" s="70">
        <f>SUM(F24:F26)</f>
        <v>118389.53</v>
      </c>
      <c r="G23" s="289">
        <f t="shared" si="1"/>
        <v>62.310278947368424</v>
      </c>
      <c r="H23" s="514">
        <f t="shared" si="2"/>
        <v>216.522948432804</v>
      </c>
      <c r="I23" s="290">
        <f t="shared" si="0"/>
        <v>1.8026744952861766</v>
      </c>
      <c r="J23" s="1"/>
      <c r="M23" s="1"/>
    </row>
    <row r="24" spans="1:13" ht="14.25" customHeight="1">
      <c r="A24" s="296">
        <v>721222</v>
      </c>
      <c r="B24" s="18"/>
      <c r="C24" s="28" t="s">
        <v>273</v>
      </c>
      <c r="D24" s="69">
        <v>7963</v>
      </c>
      <c r="E24" s="69">
        <v>15000</v>
      </c>
      <c r="F24" s="271">
        <v>5872.39</v>
      </c>
      <c r="G24" s="271">
        <f t="shared" si="1"/>
        <v>39.14926666666667</v>
      </c>
      <c r="H24" s="272">
        <f t="shared" si="2"/>
        <v>73.74595001883712</v>
      </c>
      <c r="I24" s="291">
        <f t="shared" si="0"/>
        <v>0.08941675568247962</v>
      </c>
      <c r="J24" s="1"/>
      <c r="M24" s="1"/>
    </row>
    <row r="25" spans="1:13" ht="14.25" customHeight="1">
      <c r="A25" s="296">
        <v>721223</v>
      </c>
      <c r="B25" s="18"/>
      <c r="C25" s="30" t="s">
        <v>13</v>
      </c>
      <c r="D25" s="69">
        <v>29081.43</v>
      </c>
      <c r="E25" s="69">
        <v>150000</v>
      </c>
      <c r="F25" s="271">
        <v>108218.14</v>
      </c>
      <c r="G25" s="271">
        <f t="shared" si="1"/>
        <v>72.14542666666667</v>
      </c>
      <c r="H25" s="272">
        <f t="shared" si="2"/>
        <v>372.1211095878022</v>
      </c>
      <c r="I25" s="291">
        <f t="shared" si="0"/>
        <v>1.6477984236047631</v>
      </c>
      <c r="J25" s="384"/>
      <c r="M25" s="1"/>
    </row>
    <row r="26" spans="1:14" ht="14.25" customHeight="1">
      <c r="A26" s="296">
        <v>721224</v>
      </c>
      <c r="B26" s="18"/>
      <c r="C26" s="30" t="s">
        <v>254</v>
      </c>
      <c r="D26" s="69">
        <v>17633.16</v>
      </c>
      <c r="E26" s="69">
        <v>25000</v>
      </c>
      <c r="F26" s="271">
        <v>4299</v>
      </c>
      <c r="G26" s="271">
        <f t="shared" si="1"/>
        <v>17.196</v>
      </c>
      <c r="H26" s="272">
        <f t="shared" si="2"/>
        <v>24.38020184697468</v>
      </c>
      <c r="I26" s="291">
        <f t="shared" si="0"/>
        <v>0.06545931599893397</v>
      </c>
      <c r="J26" s="1"/>
      <c r="M26" s="1"/>
      <c r="N26" s="1"/>
    </row>
    <row r="27" spans="1:13" ht="14.25" customHeight="1">
      <c r="A27" s="300">
        <v>721300</v>
      </c>
      <c r="B27" s="410"/>
      <c r="C27" s="82" t="s">
        <v>178</v>
      </c>
      <c r="D27" s="70">
        <f>SUM(D28:D28)</f>
        <v>4420.76</v>
      </c>
      <c r="E27" s="70">
        <f>SUM(E28:E28)</f>
        <v>12000</v>
      </c>
      <c r="F27" s="70">
        <f>SUM(F28:F28)</f>
        <v>670.46</v>
      </c>
      <c r="G27" s="289">
        <f t="shared" si="1"/>
        <v>5.587166666666667</v>
      </c>
      <c r="H27" s="514">
        <f t="shared" si="2"/>
        <v>15.166170522715552</v>
      </c>
      <c r="I27" s="290">
        <f t="shared" si="0"/>
        <v>0.01020885159447436</v>
      </c>
      <c r="J27" s="1"/>
      <c r="M27" s="1"/>
    </row>
    <row r="28" spans="1:13" ht="14.25" customHeight="1">
      <c r="A28" s="301">
        <v>721310</v>
      </c>
      <c r="B28" s="98"/>
      <c r="C28" s="83" t="s">
        <v>255</v>
      </c>
      <c r="D28" s="69">
        <v>4420.76</v>
      </c>
      <c r="E28" s="69">
        <v>12000</v>
      </c>
      <c r="F28" s="271">
        <v>670.46</v>
      </c>
      <c r="G28" s="271">
        <f t="shared" si="1"/>
        <v>5.587166666666667</v>
      </c>
      <c r="H28" s="272">
        <f t="shared" si="2"/>
        <v>15.166170522715552</v>
      </c>
      <c r="I28" s="291">
        <f t="shared" si="0"/>
        <v>0.01020885159447436</v>
      </c>
      <c r="J28" s="1"/>
      <c r="M28" s="1"/>
    </row>
    <row r="29" spans="1:14" ht="14.25" customHeight="1">
      <c r="A29" s="294">
        <v>722000</v>
      </c>
      <c r="B29" s="24"/>
      <c r="C29" s="27" t="s">
        <v>179</v>
      </c>
      <c r="D29" s="88">
        <f>D30+D33+D42+D52</f>
        <v>1299623.3499999999</v>
      </c>
      <c r="E29" s="88">
        <f>E30+E33+E42+E52</f>
        <v>2277500</v>
      </c>
      <c r="F29" s="88">
        <f>F30+F33+F42+F52</f>
        <v>1073758.15</v>
      </c>
      <c r="G29" s="88">
        <f t="shared" si="1"/>
        <v>47.146351262349064</v>
      </c>
      <c r="H29" s="237">
        <f t="shared" si="2"/>
        <v>82.62071853356589</v>
      </c>
      <c r="I29" s="415">
        <f t="shared" si="0"/>
        <v>16.349726459009243</v>
      </c>
      <c r="J29" s="1"/>
      <c r="M29" s="1"/>
      <c r="N29" s="1"/>
    </row>
    <row r="30" spans="1:13" ht="14.25" customHeight="1">
      <c r="A30" s="300">
        <v>722100</v>
      </c>
      <c r="B30" s="410"/>
      <c r="C30" s="27" t="s">
        <v>14</v>
      </c>
      <c r="D30" s="54">
        <f>SUM(D31:D32)</f>
        <v>130039.54999999999</v>
      </c>
      <c r="E30" s="54">
        <f>SUM(E31:E32)</f>
        <v>230000</v>
      </c>
      <c r="F30" s="54">
        <f>SUM(F31:F32)</f>
        <v>104002.62</v>
      </c>
      <c r="G30" s="289">
        <f t="shared" si="1"/>
        <v>45.21853043478261</v>
      </c>
      <c r="H30" s="514">
        <f t="shared" si="2"/>
        <v>79.97768371237828</v>
      </c>
      <c r="I30" s="290">
        <f t="shared" si="0"/>
        <v>1.5836102273312513</v>
      </c>
      <c r="J30" s="1"/>
      <c r="M30" s="1"/>
    </row>
    <row r="31" spans="1:13" ht="14.25" customHeight="1" hidden="1">
      <c r="A31" s="296">
        <v>722118</v>
      </c>
      <c r="B31" s="410"/>
      <c r="C31" s="28" t="s">
        <v>441</v>
      </c>
      <c r="D31" s="68">
        <v>8632.54</v>
      </c>
      <c r="E31" s="68">
        <v>0</v>
      </c>
      <c r="F31" s="271">
        <v>0</v>
      </c>
      <c r="G31" s="271">
        <f t="shared" si="1"/>
        <v>0</v>
      </c>
      <c r="H31" s="272">
        <f t="shared" si="2"/>
        <v>0</v>
      </c>
      <c r="I31" s="291">
        <f t="shared" si="0"/>
        <v>0</v>
      </c>
      <c r="J31" s="1"/>
      <c r="M31" s="1"/>
    </row>
    <row r="32" spans="1:13" ht="14.25" customHeight="1">
      <c r="A32" s="296">
        <v>722121</v>
      </c>
      <c r="B32" s="18"/>
      <c r="C32" s="28" t="s">
        <v>15</v>
      </c>
      <c r="D32" s="68">
        <v>121407.01</v>
      </c>
      <c r="E32" s="68">
        <v>230000</v>
      </c>
      <c r="F32" s="271">
        <v>104002.62</v>
      </c>
      <c r="G32" s="271">
        <f t="shared" si="1"/>
        <v>45.21853043478261</v>
      </c>
      <c r="H32" s="272">
        <f t="shared" si="2"/>
        <v>85.66442744945287</v>
      </c>
      <c r="I32" s="291">
        <f t="shared" si="0"/>
        <v>1.5836102273312513</v>
      </c>
      <c r="J32" s="1"/>
      <c r="M32" s="1"/>
    </row>
    <row r="33" spans="1:14" ht="14.25" customHeight="1">
      <c r="A33" s="295">
        <v>722300</v>
      </c>
      <c r="B33" s="32"/>
      <c r="C33" s="27" t="s">
        <v>16</v>
      </c>
      <c r="D33" s="54">
        <f>SUM(D34:D41)</f>
        <v>380765.8599999999</v>
      </c>
      <c r="E33" s="54">
        <f>SUM(E34:E41)</f>
        <v>615300</v>
      </c>
      <c r="F33" s="54">
        <f>SUM(F34:F41)</f>
        <v>379848.15</v>
      </c>
      <c r="G33" s="289">
        <f t="shared" si="1"/>
        <v>61.73381277425647</v>
      </c>
      <c r="H33" s="514">
        <f t="shared" si="2"/>
        <v>99.75898311891726</v>
      </c>
      <c r="I33" s="290">
        <f t="shared" si="0"/>
        <v>5.7838102075972255</v>
      </c>
      <c r="J33" s="1"/>
      <c r="M33" s="1"/>
      <c r="N33" s="1"/>
    </row>
    <row r="34" spans="1:13" ht="14.25" customHeight="1">
      <c r="A34" s="296">
        <v>722312</v>
      </c>
      <c r="B34" s="18"/>
      <c r="C34" s="28" t="s">
        <v>345</v>
      </c>
      <c r="D34" s="68">
        <v>284493.47</v>
      </c>
      <c r="E34" s="68">
        <v>410000</v>
      </c>
      <c r="F34" s="271">
        <v>279498.89</v>
      </c>
      <c r="G34" s="271">
        <f t="shared" si="1"/>
        <v>68.17046097560976</v>
      </c>
      <c r="H34" s="272">
        <f t="shared" si="2"/>
        <v>98.24439555677677</v>
      </c>
      <c r="I34" s="291">
        <f t="shared" si="0"/>
        <v>4.255828369821188</v>
      </c>
      <c r="J34" s="1"/>
      <c r="M34" s="1"/>
    </row>
    <row r="35" spans="1:13" ht="24" customHeight="1">
      <c r="A35" s="296">
        <v>722314</v>
      </c>
      <c r="B35" s="18"/>
      <c r="C35" s="28" t="s">
        <v>346</v>
      </c>
      <c r="D35" s="69">
        <v>6776.76</v>
      </c>
      <c r="E35" s="69">
        <v>15000</v>
      </c>
      <c r="F35" s="271">
        <v>25157.29</v>
      </c>
      <c r="G35" s="271">
        <f t="shared" si="1"/>
        <v>167.71526666666668</v>
      </c>
      <c r="H35" s="272">
        <f t="shared" si="2"/>
        <v>371.22887633618427</v>
      </c>
      <c r="I35" s="291">
        <f t="shared" si="0"/>
        <v>0.3830609434256389</v>
      </c>
      <c r="J35" s="1"/>
      <c r="M35" s="1"/>
    </row>
    <row r="36" spans="1:13" ht="23.25" customHeight="1">
      <c r="A36" s="296">
        <v>722316</v>
      </c>
      <c r="B36" s="18"/>
      <c r="C36" s="28" t="s">
        <v>17</v>
      </c>
      <c r="D36" s="68">
        <v>1860</v>
      </c>
      <c r="E36" s="68">
        <v>4000</v>
      </c>
      <c r="F36" s="271">
        <v>1500</v>
      </c>
      <c r="G36" s="271">
        <f t="shared" si="1"/>
        <v>37.5</v>
      </c>
      <c r="H36" s="272">
        <f t="shared" si="2"/>
        <v>80.64516129032258</v>
      </c>
      <c r="I36" s="291">
        <f t="shared" si="0"/>
        <v>0.022839956733752255</v>
      </c>
      <c r="J36" s="1"/>
      <c r="M36" s="1"/>
    </row>
    <row r="37" spans="1:13" ht="23.25" customHeight="1">
      <c r="A37" s="296">
        <v>722317</v>
      </c>
      <c r="B37" s="18"/>
      <c r="C37" s="28" t="s">
        <v>347</v>
      </c>
      <c r="D37" s="68">
        <v>158</v>
      </c>
      <c r="E37" s="68">
        <v>300</v>
      </c>
      <c r="F37" s="271">
        <v>271</v>
      </c>
      <c r="G37" s="271">
        <f t="shared" si="1"/>
        <v>90.33333333333333</v>
      </c>
      <c r="H37" s="272">
        <f t="shared" si="2"/>
        <v>171.51898734177215</v>
      </c>
      <c r="I37" s="291">
        <f aca="true" t="shared" si="3" ref="I37:I68">F37/$F$88*100</f>
        <v>0.004126418849897908</v>
      </c>
      <c r="J37" s="1"/>
      <c r="M37" s="1"/>
    </row>
    <row r="38" spans="1:14" ht="14.25" customHeight="1">
      <c r="A38" s="296">
        <v>722318</v>
      </c>
      <c r="B38" s="18"/>
      <c r="C38" s="28" t="s">
        <v>18</v>
      </c>
      <c r="D38" s="68">
        <v>5340</v>
      </c>
      <c r="E38" s="68">
        <v>4000</v>
      </c>
      <c r="F38" s="271">
        <v>500</v>
      </c>
      <c r="G38" s="271">
        <f t="shared" si="1"/>
        <v>12.5</v>
      </c>
      <c r="H38" s="272">
        <f t="shared" si="2"/>
        <v>9.363295880149813</v>
      </c>
      <c r="I38" s="291">
        <f t="shared" si="3"/>
        <v>0.007613318911250753</v>
      </c>
      <c r="J38" s="1"/>
      <c r="M38" s="1"/>
      <c r="N38" s="1"/>
    </row>
    <row r="39" spans="1:13" ht="36">
      <c r="A39" s="296">
        <v>722319</v>
      </c>
      <c r="B39" s="18"/>
      <c r="C39" s="28" t="s">
        <v>265</v>
      </c>
      <c r="D39" s="68">
        <v>63825.47</v>
      </c>
      <c r="E39" s="68">
        <v>150000</v>
      </c>
      <c r="F39" s="271">
        <v>60337.45</v>
      </c>
      <c r="G39" s="271">
        <f t="shared" si="1"/>
        <v>40.22496666666667</v>
      </c>
      <c r="H39" s="272">
        <f t="shared" si="2"/>
        <v>94.53506570339395</v>
      </c>
      <c r="I39" s="291">
        <f t="shared" si="3"/>
        <v>0.9187364982832935</v>
      </c>
      <c r="J39" s="1"/>
      <c r="M39" s="1"/>
    </row>
    <row r="40" spans="1:13" ht="24">
      <c r="A40" s="296">
        <v>722391</v>
      </c>
      <c r="B40" s="18"/>
      <c r="C40" s="28" t="s">
        <v>19</v>
      </c>
      <c r="D40" s="68">
        <v>5699.16</v>
      </c>
      <c r="E40" s="68">
        <v>12000</v>
      </c>
      <c r="F40" s="271">
        <v>4041.62</v>
      </c>
      <c r="G40" s="271">
        <f t="shared" si="1"/>
        <v>33.680166666666665</v>
      </c>
      <c r="H40" s="272">
        <f t="shared" si="2"/>
        <v>70.91606482358803</v>
      </c>
      <c r="I40" s="291">
        <f t="shared" si="3"/>
        <v>0.06154028395617853</v>
      </c>
      <c r="J40" s="1"/>
      <c r="M40" s="1"/>
    </row>
    <row r="41" spans="1:14" ht="14.25" customHeight="1">
      <c r="A41" s="296">
        <v>722396</v>
      </c>
      <c r="B41" s="18"/>
      <c r="C41" s="28" t="s">
        <v>180</v>
      </c>
      <c r="D41" s="68">
        <v>12613</v>
      </c>
      <c r="E41" s="68">
        <v>20000</v>
      </c>
      <c r="F41" s="271">
        <v>8541.9</v>
      </c>
      <c r="G41" s="271">
        <f t="shared" si="1"/>
        <v>42.7095</v>
      </c>
      <c r="H41" s="272">
        <f t="shared" si="2"/>
        <v>67.72298422262745</v>
      </c>
      <c r="I41" s="291">
        <f t="shared" si="3"/>
        <v>0.1300644176160256</v>
      </c>
      <c r="J41" s="1"/>
      <c r="M41" s="1"/>
      <c r="N41" s="1"/>
    </row>
    <row r="42" spans="1:13" ht="14.25" customHeight="1">
      <c r="A42" s="295">
        <v>722400</v>
      </c>
      <c r="B42" s="32"/>
      <c r="C42" s="37" t="s">
        <v>20</v>
      </c>
      <c r="D42" s="140">
        <f>SUM(D43:D51)</f>
        <v>687401.48</v>
      </c>
      <c r="E42" s="140">
        <f>SUM(E43:E51)</f>
        <v>1110000</v>
      </c>
      <c r="F42" s="140">
        <f>SUM(F43:F51)</f>
        <v>464463.05999999994</v>
      </c>
      <c r="G42" s="289">
        <f t="shared" si="1"/>
        <v>41.84351891891892</v>
      </c>
      <c r="H42" s="514">
        <f t="shared" si="2"/>
        <v>67.567945882223</v>
      </c>
      <c r="I42" s="290">
        <f t="shared" si="3"/>
        <v>7.0722107965507846</v>
      </c>
      <c r="J42" s="1"/>
      <c r="M42" s="1"/>
    </row>
    <row r="43" spans="1:13" ht="14.25" customHeight="1">
      <c r="A43" s="296">
        <v>722411</v>
      </c>
      <c r="B43" s="18"/>
      <c r="C43" s="28" t="s">
        <v>343</v>
      </c>
      <c r="D43" s="69">
        <v>38289.37</v>
      </c>
      <c r="E43" s="69">
        <v>160000</v>
      </c>
      <c r="F43" s="271">
        <v>137257.32</v>
      </c>
      <c r="G43" s="271">
        <f t="shared" si="1"/>
        <v>85.785825</v>
      </c>
      <c r="H43" s="272">
        <f t="shared" si="2"/>
        <v>358.4736964854736</v>
      </c>
      <c r="I43" s="291">
        <f t="shared" si="3"/>
        <v>2.0899675001271922</v>
      </c>
      <c r="J43" s="384"/>
      <c r="M43" s="1"/>
    </row>
    <row r="44" spans="1:13" ht="14.25" customHeight="1">
      <c r="A44" s="296">
        <v>722424</v>
      </c>
      <c r="B44" s="18"/>
      <c r="C44" s="28" t="s">
        <v>256</v>
      </c>
      <c r="D44" s="69">
        <v>34799.85</v>
      </c>
      <c r="E44" s="69">
        <v>100000</v>
      </c>
      <c r="F44" s="271">
        <v>35327.06</v>
      </c>
      <c r="G44" s="271">
        <f t="shared" si="1"/>
        <v>35.327059999999996</v>
      </c>
      <c r="H44" s="272">
        <f t="shared" si="2"/>
        <v>101.51497779444452</v>
      </c>
      <c r="I44" s="291">
        <f t="shared" si="3"/>
        <v>0.53791234795378</v>
      </c>
      <c r="J44" s="1"/>
      <c r="M44" s="1"/>
    </row>
    <row r="45" spans="1:13" ht="14.25" customHeight="1">
      <c r="A45" s="296">
        <v>722425</v>
      </c>
      <c r="B45" s="18"/>
      <c r="C45" s="28" t="s">
        <v>257</v>
      </c>
      <c r="D45" s="69">
        <v>26453.81</v>
      </c>
      <c r="E45" s="69">
        <v>90000</v>
      </c>
      <c r="F45" s="271">
        <v>16805.24</v>
      </c>
      <c r="G45" s="271">
        <f t="shared" si="1"/>
        <v>18.672488888888893</v>
      </c>
      <c r="H45" s="272">
        <f t="shared" si="2"/>
        <v>63.52672828602005</v>
      </c>
      <c r="I45" s="291">
        <f t="shared" si="3"/>
        <v>0.2558873030002152</v>
      </c>
      <c r="J45" s="1"/>
      <c r="M45" s="1"/>
    </row>
    <row r="46" spans="1:13" ht="24.75" customHeight="1">
      <c r="A46" s="296">
        <v>722435</v>
      </c>
      <c r="B46" s="18"/>
      <c r="C46" s="28" t="s">
        <v>344</v>
      </c>
      <c r="D46" s="69">
        <v>292816.69</v>
      </c>
      <c r="E46" s="69">
        <v>220000</v>
      </c>
      <c r="F46" s="271">
        <v>48574.05</v>
      </c>
      <c r="G46" s="271">
        <f t="shared" si="1"/>
        <v>22.079113636363637</v>
      </c>
      <c r="H46" s="272">
        <f t="shared" si="2"/>
        <v>16.588552380672017</v>
      </c>
      <c r="I46" s="291">
        <f t="shared" si="3"/>
        <v>0.7396194669220792</v>
      </c>
      <c r="J46" s="1"/>
      <c r="M46" s="1"/>
    </row>
    <row r="47" spans="1:14" ht="24" customHeight="1">
      <c r="A47" s="296">
        <v>722437</v>
      </c>
      <c r="B47" s="18"/>
      <c r="C47" s="28" t="s">
        <v>277</v>
      </c>
      <c r="D47" s="69">
        <v>11532.28</v>
      </c>
      <c r="E47" s="69">
        <v>30000</v>
      </c>
      <c r="F47" s="271">
        <v>14707.42</v>
      </c>
      <c r="G47" s="271">
        <f t="shared" si="1"/>
        <v>49.02473333333333</v>
      </c>
      <c r="H47" s="272">
        <f t="shared" si="2"/>
        <v>127.53263014772446</v>
      </c>
      <c r="I47" s="291">
        <f t="shared" si="3"/>
        <v>0.2239445576434151</v>
      </c>
      <c r="J47" s="1"/>
      <c r="M47" s="1"/>
      <c r="N47" s="1"/>
    </row>
    <row r="48" spans="1:13" ht="24" customHeight="1">
      <c r="A48" s="297">
        <v>722440</v>
      </c>
      <c r="B48" s="38"/>
      <c r="C48" s="45" t="s">
        <v>279</v>
      </c>
      <c r="D48" s="69">
        <v>56744.15</v>
      </c>
      <c r="E48" s="69">
        <v>110000</v>
      </c>
      <c r="F48" s="271">
        <v>54779.27</v>
      </c>
      <c r="G48" s="271">
        <f t="shared" si="1"/>
        <v>49.79933636363636</v>
      </c>
      <c r="H48" s="272">
        <f t="shared" si="2"/>
        <v>96.53729943967791</v>
      </c>
      <c r="I48" s="291">
        <f t="shared" si="3"/>
        <v>0.834104104471022</v>
      </c>
      <c r="J48" s="1"/>
      <c r="M48" s="1"/>
    </row>
    <row r="49" spans="1:13" ht="23.25" customHeight="1">
      <c r="A49" s="296">
        <v>722461</v>
      </c>
      <c r="B49" s="18"/>
      <c r="C49" s="28" t="s">
        <v>62</v>
      </c>
      <c r="D49" s="69">
        <v>137363.37</v>
      </c>
      <c r="E49" s="69">
        <v>230000</v>
      </c>
      <c r="F49" s="271">
        <v>68857.59</v>
      </c>
      <c r="G49" s="271">
        <f t="shared" si="1"/>
        <v>29.938082608695648</v>
      </c>
      <c r="H49" s="272">
        <f t="shared" si="2"/>
        <v>50.128058156989006</v>
      </c>
      <c r="I49" s="291">
        <f t="shared" si="3"/>
        <v>1.0484695842603013</v>
      </c>
      <c r="J49" s="1"/>
      <c r="M49" s="1"/>
    </row>
    <row r="50" spans="1:13" ht="13.5" customHeight="1">
      <c r="A50" s="296">
        <v>722467</v>
      </c>
      <c r="B50" s="18"/>
      <c r="C50" s="28" t="s">
        <v>21</v>
      </c>
      <c r="D50" s="68">
        <v>89401.96</v>
      </c>
      <c r="E50" s="68">
        <v>170000</v>
      </c>
      <c r="F50" s="271">
        <v>88155.11</v>
      </c>
      <c r="G50" s="271">
        <f t="shared" si="1"/>
        <v>51.855947058823524</v>
      </c>
      <c r="H50" s="272">
        <f t="shared" si="2"/>
        <v>98.60534377546084</v>
      </c>
      <c r="I50" s="291">
        <f t="shared" si="3"/>
        <v>1.3423059321727806</v>
      </c>
      <c r="J50" s="1"/>
      <c r="M50" s="1"/>
    </row>
    <row r="51" spans="1:13" ht="23.25" customHeight="1" hidden="1">
      <c r="A51" s="296">
        <v>722491</v>
      </c>
      <c r="B51" s="18"/>
      <c r="C51" s="28" t="s">
        <v>342</v>
      </c>
      <c r="D51" s="68"/>
      <c r="E51" s="68">
        <v>0</v>
      </c>
      <c r="F51" s="485"/>
      <c r="G51" s="485">
        <f t="shared" si="1"/>
        <v>0</v>
      </c>
      <c r="H51" s="515">
        <f t="shared" si="2"/>
        <v>0</v>
      </c>
      <c r="I51" s="486">
        <f t="shared" si="3"/>
        <v>0</v>
      </c>
      <c r="J51" s="1"/>
      <c r="M51" s="1"/>
    </row>
    <row r="52" spans="1:13" ht="14.25" customHeight="1">
      <c r="A52" s="302">
        <v>722500</v>
      </c>
      <c r="B52" s="84"/>
      <c r="C52" s="27" t="s">
        <v>22</v>
      </c>
      <c r="D52" s="140">
        <f>SUM(D53:D60)</f>
        <v>101416.45999999999</v>
      </c>
      <c r="E52" s="140">
        <f>SUM(E53:E60)</f>
        <v>322200</v>
      </c>
      <c r="F52" s="140">
        <f>SUM(F53:F60)</f>
        <v>125444.32</v>
      </c>
      <c r="G52" s="289">
        <f t="shared" si="1"/>
        <v>38.93368094351335</v>
      </c>
      <c r="H52" s="514">
        <f t="shared" si="2"/>
        <v>123.69226849369423</v>
      </c>
      <c r="I52" s="290">
        <f t="shared" si="3"/>
        <v>1.9100952275299823</v>
      </c>
      <c r="J52" s="1"/>
      <c r="M52" s="1"/>
    </row>
    <row r="53" spans="1:13" ht="14.25" customHeight="1">
      <c r="A53" s="296">
        <v>722521</v>
      </c>
      <c r="B53" s="18"/>
      <c r="C53" s="28" t="s">
        <v>488</v>
      </c>
      <c r="D53" s="68">
        <v>9292.67</v>
      </c>
      <c r="E53" s="68">
        <v>21000</v>
      </c>
      <c r="F53" s="271">
        <v>7588.96</v>
      </c>
      <c r="G53" s="271">
        <f t="shared" si="1"/>
        <v>36.13790476190476</v>
      </c>
      <c r="H53" s="272">
        <f t="shared" si="2"/>
        <v>81.66608735702441</v>
      </c>
      <c r="I53" s="291">
        <f t="shared" si="3"/>
        <v>0.11555434536945103</v>
      </c>
      <c r="J53" s="1"/>
      <c r="M53" s="1"/>
    </row>
    <row r="54" spans="1:13" ht="14.25" customHeight="1">
      <c r="A54" s="296">
        <v>722591</v>
      </c>
      <c r="B54" s="18"/>
      <c r="C54" s="30" t="s">
        <v>489</v>
      </c>
      <c r="D54" s="99">
        <v>11792.56</v>
      </c>
      <c r="E54" s="99">
        <v>17700</v>
      </c>
      <c r="F54" s="271">
        <v>10760.55</v>
      </c>
      <c r="G54" s="271">
        <f t="shared" si="1"/>
        <v>60.794067796610165</v>
      </c>
      <c r="H54" s="272">
        <f t="shared" si="2"/>
        <v>91.24863473240755</v>
      </c>
      <c r="I54" s="291">
        <f t="shared" si="3"/>
        <v>0.16384699762091856</v>
      </c>
      <c r="J54" s="1"/>
      <c r="M54" s="1"/>
    </row>
    <row r="55" spans="1:14" ht="14.25" customHeight="1">
      <c r="A55" s="296">
        <v>722591</v>
      </c>
      <c r="B55" s="18"/>
      <c r="C55" s="30" t="s">
        <v>289</v>
      </c>
      <c r="D55" s="99">
        <v>237.5</v>
      </c>
      <c r="E55" s="99">
        <v>11000</v>
      </c>
      <c r="F55" s="271">
        <v>227.5</v>
      </c>
      <c r="G55" s="271">
        <f t="shared" si="1"/>
        <v>2.0681818181818183</v>
      </c>
      <c r="H55" s="272">
        <f t="shared" si="2"/>
        <v>95.78947368421052</v>
      </c>
      <c r="I55" s="291">
        <f t="shared" si="3"/>
        <v>0.0034640601046190926</v>
      </c>
      <c r="J55" s="1"/>
      <c r="M55" s="1"/>
      <c r="N55" s="1"/>
    </row>
    <row r="56" spans="1:13" ht="14.25" customHeight="1">
      <c r="A56" s="296">
        <v>722591</v>
      </c>
      <c r="B56" s="18"/>
      <c r="C56" s="28" t="s">
        <v>283</v>
      </c>
      <c r="D56" s="99">
        <v>1405</v>
      </c>
      <c r="E56" s="99">
        <v>27000</v>
      </c>
      <c r="F56" s="271">
        <v>1465</v>
      </c>
      <c r="G56" s="271">
        <f t="shared" si="1"/>
        <v>5.425925925925926</v>
      </c>
      <c r="H56" s="272">
        <f t="shared" si="2"/>
        <v>104.27046263345197</v>
      </c>
      <c r="I56" s="291">
        <f t="shared" si="3"/>
        <v>0.022307024409964706</v>
      </c>
      <c r="J56" s="1"/>
      <c r="M56" s="1"/>
    </row>
    <row r="57" spans="1:13" ht="14.25" customHeight="1">
      <c r="A57" s="296">
        <v>722591</v>
      </c>
      <c r="B57" s="18"/>
      <c r="C57" s="28" t="s">
        <v>462</v>
      </c>
      <c r="D57" s="517">
        <v>0</v>
      </c>
      <c r="E57" s="99">
        <v>1300</v>
      </c>
      <c r="F57" s="271">
        <v>0</v>
      </c>
      <c r="G57" s="271">
        <f t="shared" si="1"/>
        <v>0</v>
      </c>
      <c r="H57" s="272">
        <f t="shared" si="2"/>
        <v>0</v>
      </c>
      <c r="I57" s="291">
        <f t="shared" si="3"/>
        <v>0</v>
      </c>
      <c r="J57" s="1"/>
      <c r="M57" s="1"/>
    </row>
    <row r="58" spans="1:13" ht="14.25" customHeight="1">
      <c r="A58" s="296">
        <v>722591</v>
      </c>
      <c r="B58" s="18"/>
      <c r="C58" s="30" t="s">
        <v>490</v>
      </c>
      <c r="D58" s="99">
        <v>1883.73</v>
      </c>
      <c r="E58" s="99">
        <v>3000</v>
      </c>
      <c r="F58" s="271">
        <v>1382.31</v>
      </c>
      <c r="G58" s="271">
        <f t="shared" si="1"/>
        <v>46.077</v>
      </c>
      <c r="H58" s="272">
        <f t="shared" si="2"/>
        <v>73.38153557038429</v>
      </c>
      <c r="I58" s="291">
        <f t="shared" si="3"/>
        <v>0.021047933728422053</v>
      </c>
      <c r="J58" s="1"/>
      <c r="M58" s="1"/>
    </row>
    <row r="59" spans="1:13" ht="14.25" customHeight="1">
      <c r="A59" s="296">
        <v>722591</v>
      </c>
      <c r="B59" s="18"/>
      <c r="C59" s="30" t="s">
        <v>491</v>
      </c>
      <c r="D59" s="99">
        <v>76095</v>
      </c>
      <c r="E59" s="99">
        <v>240000</v>
      </c>
      <c r="F59" s="271">
        <v>103800</v>
      </c>
      <c r="G59" s="271">
        <f t="shared" si="1"/>
        <v>43.25</v>
      </c>
      <c r="H59" s="272">
        <f t="shared" si="2"/>
        <v>136.40843682239304</v>
      </c>
      <c r="I59" s="291">
        <f t="shared" si="3"/>
        <v>1.5805250059756561</v>
      </c>
      <c r="J59" s="1"/>
      <c r="M59" s="1"/>
    </row>
    <row r="60" spans="1:13" ht="14.25" customHeight="1">
      <c r="A60" s="296">
        <v>722591</v>
      </c>
      <c r="B60" s="18"/>
      <c r="C60" s="28" t="s">
        <v>492</v>
      </c>
      <c r="D60" s="99">
        <v>710</v>
      </c>
      <c r="E60" s="99">
        <v>1200</v>
      </c>
      <c r="F60" s="271">
        <v>220</v>
      </c>
      <c r="G60" s="271">
        <f t="shared" si="1"/>
        <v>18.333333333333332</v>
      </c>
      <c r="H60" s="272">
        <f t="shared" si="2"/>
        <v>30.985915492957744</v>
      </c>
      <c r="I60" s="291">
        <f t="shared" si="3"/>
        <v>0.003349860320950331</v>
      </c>
      <c r="J60" s="1"/>
      <c r="M60" s="1"/>
    </row>
    <row r="61" spans="1:13" ht="14.25" customHeight="1">
      <c r="A61" s="294">
        <v>723000</v>
      </c>
      <c r="B61" s="24"/>
      <c r="C61" s="56" t="s">
        <v>23</v>
      </c>
      <c r="D61" s="141">
        <f>D62</f>
        <v>7330</v>
      </c>
      <c r="E61" s="141">
        <f>E62</f>
        <v>13000</v>
      </c>
      <c r="F61" s="141">
        <f>F62</f>
        <v>8655</v>
      </c>
      <c r="G61" s="88">
        <f t="shared" si="1"/>
        <v>66.57692307692308</v>
      </c>
      <c r="H61" s="237">
        <f t="shared" si="2"/>
        <v>118.07639836289223</v>
      </c>
      <c r="I61" s="415">
        <f t="shared" si="3"/>
        <v>0.13178655035375053</v>
      </c>
      <c r="J61" s="1"/>
      <c r="M61" s="1"/>
    </row>
    <row r="62" spans="1:13" ht="25.5" customHeight="1">
      <c r="A62" s="296">
        <v>723121</v>
      </c>
      <c r="B62" s="18"/>
      <c r="C62" s="28" t="s">
        <v>258</v>
      </c>
      <c r="D62" s="68">
        <v>7330</v>
      </c>
      <c r="E62" s="68">
        <v>13000</v>
      </c>
      <c r="F62" s="271">
        <v>8655</v>
      </c>
      <c r="G62" s="271">
        <f t="shared" si="1"/>
        <v>66.57692307692308</v>
      </c>
      <c r="H62" s="272">
        <f t="shared" si="2"/>
        <v>118.07639836289223</v>
      </c>
      <c r="I62" s="291">
        <f t="shared" si="3"/>
        <v>0.13178655035375053</v>
      </c>
      <c r="J62" s="1"/>
      <c r="M62" s="1"/>
    </row>
    <row r="63" spans="1:13" ht="12.75">
      <c r="A63" s="294">
        <v>729000</v>
      </c>
      <c r="B63" s="24"/>
      <c r="C63" s="27" t="s">
        <v>24</v>
      </c>
      <c r="D63" s="141">
        <f>SUM(D64:D64)</f>
        <v>30442.97</v>
      </c>
      <c r="E63" s="141">
        <f>SUM(E64:E64)</f>
        <v>52000</v>
      </c>
      <c r="F63" s="141">
        <f>SUM(F64:F64)</f>
        <v>27279.17</v>
      </c>
      <c r="G63" s="88">
        <f t="shared" si="1"/>
        <v>52.45994230769231</v>
      </c>
      <c r="H63" s="237">
        <f t="shared" si="2"/>
        <v>89.60745288649562</v>
      </c>
      <c r="I63" s="415">
        <f t="shared" si="3"/>
        <v>0.4153700416884483</v>
      </c>
      <c r="J63" s="1"/>
      <c r="M63" s="1"/>
    </row>
    <row r="64" spans="1:14" ht="17.25" customHeight="1">
      <c r="A64" s="296">
        <v>729124</v>
      </c>
      <c r="B64" s="18"/>
      <c r="C64" s="31" t="s">
        <v>487</v>
      </c>
      <c r="D64" s="69">
        <v>30442.97</v>
      </c>
      <c r="E64" s="69">
        <v>52000</v>
      </c>
      <c r="F64" s="271">
        <v>27279.17</v>
      </c>
      <c r="G64" s="271">
        <f t="shared" si="1"/>
        <v>52.45994230769231</v>
      </c>
      <c r="H64" s="272">
        <f t="shared" si="2"/>
        <v>89.60745288649562</v>
      </c>
      <c r="I64" s="291">
        <f t="shared" si="3"/>
        <v>0.4153700416884483</v>
      </c>
      <c r="J64" s="384"/>
      <c r="M64" s="1"/>
      <c r="N64" s="1"/>
    </row>
    <row r="65" spans="1:13" ht="15" customHeight="1">
      <c r="A65" s="303">
        <v>730000</v>
      </c>
      <c r="B65" s="411"/>
      <c r="C65" s="49" t="s">
        <v>259</v>
      </c>
      <c r="D65" s="67">
        <f aca="true" t="shared" si="4" ref="D65:F66">D66</f>
        <v>7100</v>
      </c>
      <c r="E65" s="67">
        <f t="shared" si="4"/>
        <v>0</v>
      </c>
      <c r="F65" s="67">
        <f t="shared" si="4"/>
        <v>0</v>
      </c>
      <c r="G65" s="67">
        <f t="shared" si="1"/>
        <v>0</v>
      </c>
      <c r="H65" s="513">
        <f t="shared" si="2"/>
        <v>0</v>
      </c>
      <c r="I65" s="414">
        <f t="shared" si="3"/>
        <v>0</v>
      </c>
      <c r="M65" s="1"/>
    </row>
    <row r="66" spans="1:13" ht="14.25" customHeight="1">
      <c r="A66" s="304">
        <v>731200</v>
      </c>
      <c r="B66" s="89"/>
      <c r="C66" s="90" t="s">
        <v>195</v>
      </c>
      <c r="D66" s="88">
        <f t="shared" si="4"/>
        <v>7100</v>
      </c>
      <c r="E66" s="88">
        <f t="shared" si="4"/>
        <v>0</v>
      </c>
      <c r="F66" s="88">
        <f t="shared" si="4"/>
        <v>0</v>
      </c>
      <c r="G66" s="88">
        <f t="shared" si="1"/>
        <v>0</v>
      </c>
      <c r="H66" s="237">
        <f t="shared" si="2"/>
        <v>0</v>
      </c>
      <c r="I66" s="415">
        <f t="shared" si="3"/>
        <v>0</v>
      </c>
      <c r="M66" s="1"/>
    </row>
    <row r="67" spans="1:13" ht="14.25" customHeight="1">
      <c r="A67" s="304">
        <v>731210</v>
      </c>
      <c r="B67" s="89"/>
      <c r="C67" s="90" t="s">
        <v>362</v>
      </c>
      <c r="D67" s="70">
        <f>SUM(D68:D72)</f>
        <v>7100</v>
      </c>
      <c r="E67" s="70">
        <f>SUM(E68:E72)</f>
        <v>0</v>
      </c>
      <c r="F67" s="70">
        <f>SUM(F68:F72)</f>
        <v>0</v>
      </c>
      <c r="G67" s="289">
        <f t="shared" si="1"/>
        <v>0</v>
      </c>
      <c r="H67" s="514">
        <f t="shared" si="2"/>
        <v>0</v>
      </c>
      <c r="I67" s="290">
        <f t="shared" si="3"/>
        <v>0</v>
      </c>
      <c r="M67" s="1"/>
    </row>
    <row r="68" spans="1:13" ht="36.75" customHeight="1" hidden="1">
      <c r="A68" s="305">
        <v>731200</v>
      </c>
      <c r="B68" s="63"/>
      <c r="C68" s="87" t="s">
        <v>464</v>
      </c>
      <c r="D68" s="99">
        <v>6000</v>
      </c>
      <c r="E68" s="99">
        <v>0</v>
      </c>
      <c r="F68" s="271">
        <v>0</v>
      </c>
      <c r="G68" s="271">
        <f t="shared" si="1"/>
        <v>0</v>
      </c>
      <c r="H68" s="272">
        <f t="shared" si="2"/>
        <v>0</v>
      </c>
      <c r="I68" s="291">
        <f t="shared" si="3"/>
        <v>0</v>
      </c>
      <c r="M68" s="1"/>
    </row>
    <row r="69" spans="1:13" ht="22.5" customHeight="1" hidden="1">
      <c r="A69" s="305">
        <v>731200</v>
      </c>
      <c r="B69" s="63"/>
      <c r="C69" s="87" t="s">
        <v>463</v>
      </c>
      <c r="D69" s="99">
        <v>1100</v>
      </c>
      <c r="E69" s="99">
        <v>0</v>
      </c>
      <c r="F69" s="271">
        <v>0</v>
      </c>
      <c r="G69" s="271">
        <f t="shared" si="1"/>
        <v>0</v>
      </c>
      <c r="H69" s="272">
        <f t="shared" si="2"/>
        <v>0</v>
      </c>
      <c r="I69" s="291">
        <f aca="true" t="shared" si="5" ref="I69:I88">F69/$F$88*100</f>
        <v>0</v>
      </c>
      <c r="M69" s="1"/>
    </row>
    <row r="70" spans="1:13" ht="22.5" customHeight="1" hidden="1">
      <c r="A70" s="305">
        <v>731200</v>
      </c>
      <c r="B70" s="63"/>
      <c r="C70" s="87" t="s">
        <v>496</v>
      </c>
      <c r="D70" s="99">
        <v>0</v>
      </c>
      <c r="E70" s="99">
        <v>0</v>
      </c>
      <c r="F70" s="271"/>
      <c r="G70" s="271">
        <f aca="true" t="shared" si="6" ref="G70:G88">IF(E70&gt;0,F70/E70*100,0)</f>
        <v>0</v>
      </c>
      <c r="H70" s="272">
        <f aca="true" t="shared" si="7" ref="H70:H88">IF(D70&gt;0,F70/D70*100,0)</f>
        <v>0</v>
      </c>
      <c r="I70" s="291">
        <f t="shared" si="5"/>
        <v>0</v>
      </c>
      <c r="M70" s="1"/>
    </row>
    <row r="71" spans="1:13" ht="22.5" customHeight="1" hidden="1">
      <c r="A71" s="305">
        <v>731200</v>
      </c>
      <c r="B71" s="63"/>
      <c r="C71" s="87" t="s">
        <v>497</v>
      </c>
      <c r="D71" s="99">
        <v>0</v>
      </c>
      <c r="E71" s="99">
        <v>0</v>
      </c>
      <c r="F71" s="271"/>
      <c r="G71" s="271">
        <f t="shared" si="6"/>
        <v>0</v>
      </c>
      <c r="H71" s="272">
        <f t="shared" si="7"/>
        <v>0</v>
      </c>
      <c r="I71" s="291">
        <f t="shared" si="5"/>
        <v>0</v>
      </c>
      <c r="M71" s="1"/>
    </row>
    <row r="72" spans="1:13" ht="24" hidden="1">
      <c r="A72" s="305">
        <v>731200</v>
      </c>
      <c r="B72" s="63"/>
      <c r="C72" s="87" t="s">
        <v>493</v>
      </c>
      <c r="D72" s="99">
        <v>0</v>
      </c>
      <c r="E72" s="99">
        <v>0</v>
      </c>
      <c r="F72" s="271"/>
      <c r="G72" s="271">
        <f t="shared" si="6"/>
        <v>0</v>
      </c>
      <c r="H72" s="272">
        <f t="shared" si="7"/>
        <v>0</v>
      </c>
      <c r="I72" s="291">
        <f t="shared" si="5"/>
        <v>0</v>
      </c>
      <c r="M72" s="1"/>
    </row>
    <row r="73" spans="1:11" s="2" customFormat="1" ht="15" customHeight="1">
      <c r="A73" s="303">
        <v>780000</v>
      </c>
      <c r="B73" s="411"/>
      <c r="C73" s="85" t="s">
        <v>392</v>
      </c>
      <c r="D73" s="67">
        <f>D74</f>
        <v>467464.64</v>
      </c>
      <c r="E73" s="67">
        <f>E74</f>
        <v>977500</v>
      </c>
      <c r="F73" s="67">
        <f>F74</f>
        <v>473201.8900000001</v>
      </c>
      <c r="G73" s="67">
        <f t="shared" si="6"/>
        <v>48.40940051150896</v>
      </c>
      <c r="H73" s="513">
        <f t="shared" si="7"/>
        <v>101.22731208075975</v>
      </c>
      <c r="I73" s="414">
        <f t="shared" si="5"/>
        <v>7.205273795953198</v>
      </c>
      <c r="K73" s="387"/>
    </row>
    <row r="74" spans="1:11" s="2" customFormat="1" ht="24" customHeight="1">
      <c r="A74" s="298">
        <v>787000</v>
      </c>
      <c r="B74" s="77"/>
      <c r="C74" s="86" t="s">
        <v>407</v>
      </c>
      <c r="D74" s="88">
        <f>SUM(D75:D80)</f>
        <v>467464.64</v>
      </c>
      <c r="E74" s="88">
        <f>SUM(E75:E80)</f>
        <v>977500</v>
      </c>
      <c r="F74" s="88">
        <f>SUM(F75:F80)</f>
        <v>473201.8900000001</v>
      </c>
      <c r="G74" s="88">
        <f t="shared" si="6"/>
        <v>48.40940051150896</v>
      </c>
      <c r="H74" s="237">
        <f t="shared" si="7"/>
        <v>101.22731208075975</v>
      </c>
      <c r="I74" s="415">
        <f t="shared" si="5"/>
        <v>7.205273795953198</v>
      </c>
      <c r="K74" s="387"/>
    </row>
    <row r="75" spans="1:11" s="2" customFormat="1" ht="25.5" customHeight="1">
      <c r="A75" s="301">
        <v>787200</v>
      </c>
      <c r="B75" s="98"/>
      <c r="C75" s="87" t="s">
        <v>260</v>
      </c>
      <c r="D75" s="271">
        <v>422985.43</v>
      </c>
      <c r="E75" s="271">
        <v>894000</v>
      </c>
      <c r="F75" s="271">
        <v>424211.78</v>
      </c>
      <c r="G75" s="271">
        <f t="shared" si="6"/>
        <v>47.45098210290828</v>
      </c>
      <c r="H75" s="272">
        <f t="shared" si="7"/>
        <v>100.28992724406606</v>
      </c>
      <c r="I75" s="291">
        <f t="shared" si="5"/>
        <v>6.459319134098688</v>
      </c>
      <c r="J75" s="346"/>
      <c r="K75" s="387"/>
    </row>
    <row r="76" spans="1:11" s="2" customFormat="1" ht="36" customHeight="1">
      <c r="A76" s="301">
        <v>787200</v>
      </c>
      <c r="B76" s="98"/>
      <c r="C76" s="87" t="s">
        <v>434</v>
      </c>
      <c r="D76" s="69">
        <v>42543.22</v>
      </c>
      <c r="E76" s="69">
        <v>76100</v>
      </c>
      <c r="F76" s="271">
        <v>42986.41</v>
      </c>
      <c r="G76" s="271">
        <f t="shared" si="6"/>
        <v>56.486741130091985</v>
      </c>
      <c r="H76" s="272">
        <f t="shared" si="7"/>
        <v>101.0417406110774</v>
      </c>
      <c r="I76" s="291">
        <f t="shared" si="5"/>
        <v>0.654538496359557</v>
      </c>
      <c r="K76" s="387"/>
    </row>
    <row r="77" spans="1:11" s="2" customFormat="1" ht="24">
      <c r="A77" s="301">
        <v>787200</v>
      </c>
      <c r="B77" s="98"/>
      <c r="C77" s="87" t="s">
        <v>435</v>
      </c>
      <c r="D77" s="99">
        <v>1935.99</v>
      </c>
      <c r="E77" s="99">
        <v>4900</v>
      </c>
      <c r="F77" s="271">
        <v>5808</v>
      </c>
      <c r="G77" s="271">
        <f t="shared" si="6"/>
        <v>118.53061224489795</v>
      </c>
      <c r="H77" s="272">
        <f t="shared" si="7"/>
        <v>300.00154959478095</v>
      </c>
      <c r="I77" s="291">
        <f t="shared" si="5"/>
        <v>0.08843631247308874</v>
      </c>
      <c r="K77" s="387"/>
    </row>
    <row r="78" spans="1:11" s="2" customFormat="1" ht="24" customHeight="1">
      <c r="A78" s="301">
        <v>787200</v>
      </c>
      <c r="B78" s="98"/>
      <c r="C78" s="45" t="s">
        <v>471</v>
      </c>
      <c r="D78" s="99">
        <v>0</v>
      </c>
      <c r="E78" s="99">
        <v>500</v>
      </c>
      <c r="F78" s="271">
        <v>0</v>
      </c>
      <c r="G78" s="271">
        <f t="shared" si="6"/>
        <v>0</v>
      </c>
      <c r="H78" s="272">
        <f t="shared" si="7"/>
        <v>0</v>
      </c>
      <c r="I78" s="291">
        <f t="shared" si="5"/>
        <v>0</v>
      </c>
      <c r="K78" s="387"/>
    </row>
    <row r="79" spans="1:11" s="2" customFormat="1" ht="24" customHeight="1">
      <c r="A79" s="301">
        <v>787300</v>
      </c>
      <c r="B79" s="98"/>
      <c r="C79" s="45" t="s">
        <v>486</v>
      </c>
      <c r="D79" s="99">
        <v>0</v>
      </c>
      <c r="E79" s="99">
        <v>500</v>
      </c>
      <c r="F79" s="271">
        <v>195.7</v>
      </c>
      <c r="G79" s="271">
        <f t="shared" si="6"/>
        <v>39.14</v>
      </c>
      <c r="H79" s="272">
        <f t="shared" si="7"/>
        <v>0</v>
      </c>
      <c r="I79" s="291">
        <f t="shared" si="5"/>
        <v>0.0029798530218635446</v>
      </c>
      <c r="K79" s="387"/>
    </row>
    <row r="80" spans="1:11" s="2" customFormat="1" ht="24" customHeight="1">
      <c r="A80" s="301">
        <v>787400</v>
      </c>
      <c r="B80" s="98"/>
      <c r="C80" s="45" t="s">
        <v>512</v>
      </c>
      <c r="D80" s="99">
        <v>0</v>
      </c>
      <c r="E80" s="99">
        <v>1500</v>
      </c>
      <c r="F80" s="271">
        <v>0</v>
      </c>
      <c r="G80" s="271">
        <f t="shared" si="6"/>
        <v>0</v>
      </c>
      <c r="H80" s="272">
        <f t="shared" si="7"/>
        <v>0</v>
      </c>
      <c r="I80" s="291">
        <f t="shared" si="5"/>
        <v>0</v>
      </c>
      <c r="K80" s="387"/>
    </row>
    <row r="81" spans="1:9" ht="15" customHeight="1">
      <c r="A81" s="294">
        <v>810000</v>
      </c>
      <c r="B81" s="24"/>
      <c r="C81" s="164" t="s">
        <v>316</v>
      </c>
      <c r="D81" s="161">
        <f>D82+D84+D86</f>
        <v>13984.12</v>
      </c>
      <c r="E81" s="161">
        <f>E82+E84+E86</f>
        <v>105000</v>
      </c>
      <c r="F81" s="161">
        <f>F82+F84+F86</f>
        <v>49920.68</v>
      </c>
      <c r="G81" s="161">
        <f t="shared" si="6"/>
        <v>47.543504761904764</v>
      </c>
      <c r="H81" s="250">
        <f t="shared" si="7"/>
        <v>356.9812043946991</v>
      </c>
      <c r="I81" s="215">
        <f t="shared" si="5"/>
        <v>0.7601241142129944</v>
      </c>
    </row>
    <row r="82" spans="1:9" ht="9.75" customHeight="1" hidden="1">
      <c r="A82" s="294">
        <v>811000</v>
      </c>
      <c r="B82" s="24"/>
      <c r="C82" s="56" t="s">
        <v>194</v>
      </c>
      <c r="D82" s="88">
        <f>SUM(D83:D83)</f>
        <v>0</v>
      </c>
      <c r="E82" s="88">
        <f>SUM(E83:E83)</f>
        <v>0</v>
      </c>
      <c r="F82" s="88">
        <f>SUM(F83:F83)</f>
        <v>0</v>
      </c>
      <c r="G82" s="88">
        <f t="shared" si="6"/>
        <v>0</v>
      </c>
      <c r="H82" s="237">
        <f t="shared" si="7"/>
        <v>0</v>
      </c>
      <c r="I82" s="415">
        <f t="shared" si="5"/>
        <v>0</v>
      </c>
    </row>
    <row r="83" spans="1:9" ht="16.5" customHeight="1" hidden="1">
      <c r="A83" s="305">
        <v>811120</v>
      </c>
      <c r="B83" s="412" t="s">
        <v>27</v>
      </c>
      <c r="C83" s="87" t="s">
        <v>214</v>
      </c>
      <c r="D83" s="69"/>
      <c r="E83" s="69">
        <v>0</v>
      </c>
      <c r="F83" s="271"/>
      <c r="G83" s="271">
        <f t="shared" si="6"/>
        <v>0</v>
      </c>
      <c r="H83" s="272">
        <f t="shared" si="7"/>
        <v>0</v>
      </c>
      <c r="I83" s="291">
        <f t="shared" si="5"/>
        <v>0</v>
      </c>
    </row>
    <row r="84" spans="1:9" ht="14.25" customHeight="1">
      <c r="A84" s="294">
        <v>813000</v>
      </c>
      <c r="B84" s="24"/>
      <c r="C84" s="56" t="s">
        <v>181</v>
      </c>
      <c r="D84" s="88">
        <f>SUM(D85:D85)</f>
        <v>11131.62</v>
      </c>
      <c r="E84" s="88">
        <f>SUM(E85:E85)</f>
        <v>100000</v>
      </c>
      <c r="F84" s="88">
        <f>SUM(F85:F85)</f>
        <v>47715.68</v>
      </c>
      <c r="G84" s="88">
        <f t="shared" si="6"/>
        <v>47.71568</v>
      </c>
      <c r="H84" s="237">
        <f t="shared" si="7"/>
        <v>428.6499179813899</v>
      </c>
      <c r="I84" s="415">
        <f t="shared" si="5"/>
        <v>0.7265493778143786</v>
      </c>
    </row>
    <row r="85" spans="1:9" ht="14.25" customHeight="1">
      <c r="A85" s="305">
        <v>813110</v>
      </c>
      <c r="B85" s="412" t="s">
        <v>27</v>
      </c>
      <c r="C85" s="87" t="s">
        <v>182</v>
      </c>
      <c r="D85" s="69">
        <v>11131.62</v>
      </c>
      <c r="E85" s="69">
        <v>100000</v>
      </c>
      <c r="F85" s="271">
        <v>47715.68</v>
      </c>
      <c r="G85" s="271">
        <f t="shared" si="6"/>
        <v>47.71568</v>
      </c>
      <c r="H85" s="272">
        <f t="shared" si="7"/>
        <v>428.6499179813899</v>
      </c>
      <c r="I85" s="291">
        <f t="shared" si="5"/>
        <v>0.7265493778143786</v>
      </c>
    </row>
    <row r="86" spans="1:9" ht="24" customHeight="1">
      <c r="A86" s="294">
        <v>816000</v>
      </c>
      <c r="B86" s="24"/>
      <c r="C86" s="56" t="s">
        <v>304</v>
      </c>
      <c r="D86" s="88">
        <f>SUM(D87)</f>
        <v>2852.5</v>
      </c>
      <c r="E86" s="88">
        <f>SUM(E87)</f>
        <v>5000</v>
      </c>
      <c r="F86" s="88">
        <f>SUM(F87)</f>
        <v>2205</v>
      </c>
      <c r="G86" s="88">
        <f t="shared" si="6"/>
        <v>44.1</v>
      </c>
      <c r="H86" s="237">
        <f t="shared" si="7"/>
        <v>77.30061349693251</v>
      </c>
      <c r="I86" s="415">
        <f t="shared" si="5"/>
        <v>0.033574736398615815</v>
      </c>
    </row>
    <row r="87" spans="1:9" ht="15" customHeight="1">
      <c r="A87" s="301">
        <v>816150</v>
      </c>
      <c r="B87" s="412" t="s">
        <v>36</v>
      </c>
      <c r="C87" s="87" t="s">
        <v>187</v>
      </c>
      <c r="D87" s="69">
        <v>2852.5</v>
      </c>
      <c r="E87" s="69">
        <v>5000</v>
      </c>
      <c r="F87" s="271">
        <v>2205</v>
      </c>
      <c r="G87" s="271">
        <f t="shared" si="6"/>
        <v>44.1</v>
      </c>
      <c r="H87" s="272">
        <f t="shared" si="7"/>
        <v>77.30061349693251</v>
      </c>
      <c r="I87" s="291">
        <f t="shared" si="5"/>
        <v>0.033574736398615815</v>
      </c>
    </row>
    <row r="88" spans="1:11" ht="29.25" customHeight="1" thickBot="1">
      <c r="A88" s="183"/>
      <c r="B88" s="413"/>
      <c r="C88" s="184" t="s">
        <v>317</v>
      </c>
      <c r="D88" s="212">
        <f>D5+D81</f>
        <v>6314884.1</v>
      </c>
      <c r="E88" s="212">
        <f>E5+E81</f>
        <v>13657000</v>
      </c>
      <c r="F88" s="212">
        <f>F5+F81</f>
        <v>6567438.009999999</v>
      </c>
      <c r="G88" s="452">
        <f t="shared" si="6"/>
        <v>48.088438236801636</v>
      </c>
      <c r="H88" s="516">
        <f t="shared" si="7"/>
        <v>103.99934355089746</v>
      </c>
      <c r="I88" s="453">
        <f t="shared" si="5"/>
        <v>100</v>
      </c>
      <c r="K88" s="388"/>
    </row>
    <row r="89" spans="1:9" ht="16.5" customHeight="1" thickTop="1">
      <c r="A89" s="146"/>
      <c r="B89" s="146"/>
      <c r="C89" s="244"/>
      <c r="D89" s="244"/>
      <c r="E89" s="243"/>
      <c r="F89" s="243"/>
      <c r="G89" s="243"/>
      <c r="H89" s="243"/>
      <c r="I89"/>
    </row>
    <row r="90" spans="1:9" ht="12.75">
      <c r="A90" s="146"/>
      <c r="B90" s="146"/>
      <c r="C90" s="242"/>
      <c r="D90" s="242"/>
      <c r="E90" s="243"/>
      <c r="F90" s="243"/>
      <c r="G90" s="243"/>
      <c r="H90" s="243"/>
      <c r="I90" s="208"/>
    </row>
    <row r="91" spans="1:9" ht="15.75">
      <c r="A91" s="146"/>
      <c r="B91" s="146"/>
      <c r="C91" s="505"/>
      <c r="D91" s="505"/>
      <c r="E91" s="243"/>
      <c r="F91" s="243"/>
      <c r="G91" s="243"/>
      <c r="H91" s="243"/>
      <c r="I91" s="208"/>
    </row>
    <row r="92" spans="1:9" ht="15.75">
      <c r="A92" s="146"/>
      <c r="B92" s="146"/>
      <c r="C92" s="505"/>
      <c r="D92" s="243"/>
      <c r="E92" s="243"/>
      <c r="F92" s="243"/>
      <c r="G92" s="254"/>
      <c r="H92" s="254"/>
      <c r="I92"/>
    </row>
    <row r="93" spans="1:10" ht="13.5" customHeight="1">
      <c r="A93" s="146"/>
      <c r="B93" s="146"/>
      <c r="C93" s="505"/>
      <c r="D93" s="505"/>
      <c r="E93" s="243"/>
      <c r="F93" s="243"/>
      <c r="G93" s="241"/>
      <c r="H93" s="241"/>
      <c r="I93" s="1"/>
      <c r="J93" s="1"/>
    </row>
    <row r="94" spans="1:9" ht="12.75">
      <c r="A94" s="146"/>
      <c r="B94" s="146"/>
      <c r="C94" s="242"/>
      <c r="D94" s="242"/>
      <c r="E94" s="243"/>
      <c r="I94"/>
    </row>
    <row r="95" spans="1:9" ht="15.75" customHeight="1">
      <c r="A95" s="146"/>
      <c r="B95" s="146"/>
      <c r="C95" s="280"/>
      <c r="D95" s="506"/>
      <c r="E95" s="506"/>
      <c r="F95" s="506"/>
      <c r="G95" s="254"/>
      <c r="H95" s="254"/>
      <c r="I95" s="1"/>
    </row>
    <row r="96" spans="1:9" ht="12.75">
      <c r="A96" s="146"/>
      <c r="B96" s="146"/>
      <c r="C96" s="146"/>
      <c r="D96" s="146"/>
      <c r="E96" s="146"/>
      <c r="F96" s="146"/>
      <c r="G96" s="146"/>
      <c r="H96" s="146"/>
      <c r="I96"/>
    </row>
    <row r="97" spans="1:9" ht="12.75">
      <c r="A97" s="146"/>
      <c r="B97" s="146"/>
      <c r="C97" s="146"/>
      <c r="D97" s="146"/>
      <c r="E97" s="273"/>
      <c r="F97" s="273"/>
      <c r="G97" s="273"/>
      <c r="H97" s="273"/>
      <c r="I97"/>
    </row>
    <row r="98" spans="1:9" ht="12.75">
      <c r="A98" s="146"/>
      <c r="B98" s="146"/>
      <c r="C98" s="146"/>
      <c r="D98" s="146"/>
      <c r="E98" s="146"/>
      <c r="I98"/>
    </row>
    <row r="99" spans="1:9" ht="12.75">
      <c r="A99" s="146"/>
      <c r="B99" s="146"/>
      <c r="C99" s="146"/>
      <c r="D99" s="146"/>
      <c r="I99"/>
    </row>
    <row r="100" spans="1:9" ht="15.75" customHeight="1">
      <c r="A100" s="146"/>
      <c r="B100" s="146"/>
      <c r="C100" s="146"/>
      <c r="D100" s="146"/>
      <c r="I100"/>
    </row>
    <row r="101" spans="1:11" ht="12.75">
      <c r="A101" s="146"/>
      <c r="B101" s="146"/>
      <c r="C101" s="146"/>
      <c r="D101" s="146"/>
      <c r="I101"/>
      <c r="J101" s="2"/>
      <c r="K101" s="387"/>
    </row>
    <row r="102" spans="1:9" ht="12.75">
      <c r="A102" s="146"/>
      <c r="B102" s="146"/>
      <c r="C102" s="146"/>
      <c r="D102" s="146"/>
      <c r="I102"/>
    </row>
    <row r="103" spans="1:9" ht="12.75">
      <c r="A103" s="146"/>
      <c r="B103" s="146"/>
      <c r="C103" s="146"/>
      <c r="D103" s="146"/>
      <c r="I103"/>
    </row>
    <row r="104" spans="1:9" ht="12.75" customHeight="1">
      <c r="A104" s="146"/>
      <c r="B104" s="146"/>
      <c r="C104" s="146"/>
      <c r="D104" s="146"/>
      <c r="I104"/>
    </row>
    <row r="105" spans="1:9" ht="12.75">
      <c r="A105" s="146"/>
      <c r="B105" s="146"/>
      <c r="C105" s="146"/>
      <c r="D105" s="146"/>
      <c r="I105"/>
    </row>
    <row r="106" spans="1:9" ht="12.75">
      <c r="A106" s="146"/>
      <c r="B106" s="146"/>
      <c r="C106" s="146"/>
      <c r="D106" s="146"/>
      <c r="I106"/>
    </row>
    <row r="107" spans="1:9" ht="12.75">
      <c r="A107" s="146"/>
      <c r="B107" s="146"/>
      <c r="C107" s="146"/>
      <c r="D107" s="146"/>
      <c r="I107"/>
    </row>
    <row r="108" spans="1:9" ht="12.75">
      <c r="A108" s="146"/>
      <c r="B108" s="146"/>
      <c r="C108" s="146"/>
      <c r="D108" s="146"/>
      <c r="I108"/>
    </row>
    <row r="109" spans="1:9" ht="12.75">
      <c r="A109" s="146"/>
      <c r="B109" s="146"/>
      <c r="C109" s="146"/>
      <c r="D109" s="146"/>
      <c r="I109"/>
    </row>
    <row r="110" spans="1:9" ht="12.75">
      <c r="A110" s="146"/>
      <c r="B110" s="146"/>
      <c r="C110" s="146"/>
      <c r="D110" s="146"/>
      <c r="I110"/>
    </row>
    <row r="111" spans="1:9" ht="12.75">
      <c r="A111" s="146"/>
      <c r="B111" s="146"/>
      <c r="C111" s="146"/>
      <c r="D111" s="146"/>
      <c r="I111"/>
    </row>
    <row r="112" spans="1:9" ht="12.75">
      <c r="A112" s="146"/>
      <c r="B112" s="146"/>
      <c r="C112" s="146"/>
      <c r="D112" s="146"/>
      <c r="I112"/>
    </row>
    <row r="113" spans="1:9" ht="12.75">
      <c r="A113" s="146"/>
      <c r="B113" s="146"/>
      <c r="C113" s="146"/>
      <c r="D113" s="146"/>
      <c r="I113"/>
    </row>
    <row r="114" spans="1:9" ht="12.75">
      <c r="A114" s="146"/>
      <c r="B114" s="146"/>
      <c r="C114" s="146"/>
      <c r="D114" s="146"/>
      <c r="I114"/>
    </row>
    <row r="115" spans="1:9" ht="12.75">
      <c r="A115" s="146"/>
      <c r="B115" s="146"/>
      <c r="C115" s="146"/>
      <c r="D115" s="146"/>
      <c r="I115"/>
    </row>
    <row r="116" spans="1:9" ht="12.75">
      <c r="A116" s="146"/>
      <c r="B116" s="146"/>
      <c r="C116" s="146"/>
      <c r="D116" s="146"/>
      <c r="I116"/>
    </row>
    <row r="117" spans="1:9" ht="12.75">
      <c r="A117" s="146"/>
      <c r="B117" s="146"/>
      <c r="C117" s="146"/>
      <c r="D117" s="146"/>
      <c r="I117"/>
    </row>
    <row r="118" spans="1:9" ht="12.75">
      <c r="A118" s="146"/>
      <c r="B118" s="146"/>
      <c r="C118" s="146"/>
      <c r="D118" s="146"/>
      <c r="I118"/>
    </row>
    <row r="119" spans="1:9" ht="12.75">
      <c r="A119" s="146"/>
      <c r="B119" s="146"/>
      <c r="C119" s="146"/>
      <c r="D119" s="146"/>
      <c r="I119"/>
    </row>
    <row r="120" spans="1:9" ht="12.75">
      <c r="A120" s="146"/>
      <c r="B120" s="146"/>
      <c r="C120" s="146"/>
      <c r="D120" s="146"/>
      <c r="I120"/>
    </row>
    <row r="121" spans="1:9" ht="12.75">
      <c r="A121" s="146"/>
      <c r="B121" s="146"/>
      <c r="C121" s="146"/>
      <c r="D121" s="146"/>
      <c r="I121"/>
    </row>
    <row r="122" spans="1:9" ht="12.75">
      <c r="A122" s="146"/>
      <c r="B122" s="146"/>
      <c r="C122" s="146"/>
      <c r="D122" s="146"/>
      <c r="I122"/>
    </row>
    <row r="123" spans="1:9" ht="12.75">
      <c r="A123" s="146"/>
      <c r="B123" s="146"/>
      <c r="C123" s="146"/>
      <c r="D123" s="146"/>
      <c r="I123"/>
    </row>
    <row r="124" spans="1:9" ht="12.75">
      <c r="A124" s="146"/>
      <c r="B124" s="146"/>
      <c r="C124" s="146"/>
      <c r="D124" s="146"/>
      <c r="I124"/>
    </row>
    <row r="125" spans="1:9" ht="12.75">
      <c r="A125" s="146"/>
      <c r="B125" s="146"/>
      <c r="C125" s="146"/>
      <c r="D125" s="146"/>
      <c r="I125"/>
    </row>
    <row r="126" spans="1:9" ht="12.75">
      <c r="A126" s="146"/>
      <c r="B126" s="146"/>
      <c r="C126" s="146"/>
      <c r="D126" s="146"/>
      <c r="I126"/>
    </row>
    <row r="127" spans="1:9" ht="12.75">
      <c r="A127" s="146"/>
      <c r="B127" s="146"/>
      <c r="C127" s="146"/>
      <c r="D127" s="146"/>
      <c r="I127"/>
    </row>
    <row r="128" spans="1:9" ht="12.75">
      <c r="A128" s="146"/>
      <c r="B128" s="146"/>
      <c r="C128" s="146"/>
      <c r="D128" s="146"/>
      <c r="I128"/>
    </row>
    <row r="129" spans="1:9" ht="12.75">
      <c r="A129" s="146"/>
      <c r="B129" s="146"/>
      <c r="C129" s="146"/>
      <c r="D129" s="146"/>
      <c r="I129"/>
    </row>
    <row r="130" spans="1:9" ht="12.75">
      <c r="A130" s="146"/>
      <c r="B130" s="146"/>
      <c r="C130" s="146"/>
      <c r="D130" s="146"/>
      <c r="I130"/>
    </row>
    <row r="131" spans="1:9" ht="12.75">
      <c r="A131" s="146"/>
      <c r="B131" s="146"/>
      <c r="C131" s="146"/>
      <c r="D131" s="146"/>
      <c r="I131"/>
    </row>
    <row r="132" spans="1:9" ht="12.75">
      <c r="A132" s="146"/>
      <c r="B132" s="146"/>
      <c r="C132" s="146"/>
      <c r="D132" s="146"/>
      <c r="I132"/>
    </row>
    <row r="133" spans="1:9" ht="12.75">
      <c r="A133" s="146"/>
      <c r="B133" s="146"/>
      <c r="C133" s="146"/>
      <c r="D133" s="146"/>
      <c r="I133"/>
    </row>
    <row r="134" spans="1:9" ht="12.75">
      <c r="A134" s="146"/>
      <c r="B134" s="146"/>
      <c r="C134" s="146"/>
      <c r="D134" s="146"/>
      <c r="I134"/>
    </row>
    <row r="135" spans="1:9" ht="12.75">
      <c r="A135" s="146"/>
      <c r="B135" s="146"/>
      <c r="C135" s="146"/>
      <c r="D135" s="146"/>
      <c r="I135"/>
    </row>
    <row r="136" spans="1:9" ht="12.75">
      <c r="A136" s="146"/>
      <c r="B136" s="146"/>
      <c r="C136" s="146"/>
      <c r="D136" s="146"/>
      <c r="I136"/>
    </row>
    <row r="137" spans="1:9" ht="12.75">
      <c r="A137" s="146"/>
      <c r="B137" s="146"/>
      <c r="C137" s="146"/>
      <c r="D137" s="146"/>
      <c r="I137"/>
    </row>
    <row r="138" spans="1:9" ht="12.75">
      <c r="A138" s="146"/>
      <c r="B138" s="146"/>
      <c r="C138" s="146"/>
      <c r="D138" s="146"/>
      <c r="I138"/>
    </row>
    <row r="139" spans="1:9" ht="12.75">
      <c r="A139" s="146"/>
      <c r="B139" s="146"/>
      <c r="C139" s="146"/>
      <c r="D139" s="146"/>
      <c r="I139"/>
    </row>
    <row r="140" spans="1:9" ht="12.75">
      <c r="A140" s="146"/>
      <c r="B140" s="146"/>
      <c r="C140" s="146"/>
      <c r="D140" s="146"/>
      <c r="I140"/>
    </row>
    <row r="141" spans="1:9" ht="12.75">
      <c r="A141" s="146"/>
      <c r="B141" s="146"/>
      <c r="C141" s="146"/>
      <c r="D141" s="146"/>
      <c r="I141"/>
    </row>
    <row r="142" spans="1:9" ht="12.75">
      <c r="A142" s="146"/>
      <c r="B142" s="146"/>
      <c r="C142" s="146"/>
      <c r="D142" s="146"/>
      <c r="I142"/>
    </row>
    <row r="143" spans="1:9" ht="12.75">
      <c r="A143" s="146"/>
      <c r="B143" s="146"/>
      <c r="C143" s="146"/>
      <c r="D143" s="146"/>
      <c r="I143"/>
    </row>
    <row r="144" spans="1:9" ht="12.75">
      <c r="A144" s="146"/>
      <c r="B144" s="146"/>
      <c r="C144" s="146"/>
      <c r="D144" s="146"/>
      <c r="I144"/>
    </row>
    <row r="145" spans="1:9" ht="12.75">
      <c r="A145" s="146"/>
      <c r="B145" s="146"/>
      <c r="C145" s="146"/>
      <c r="D145" s="146"/>
      <c r="I145"/>
    </row>
    <row r="146" spans="1:9" ht="12.75">
      <c r="A146" s="146"/>
      <c r="B146" s="146"/>
      <c r="C146" s="146"/>
      <c r="D146" s="146"/>
      <c r="I146"/>
    </row>
    <row r="147" spans="1:9" ht="12.75">
      <c r="A147" s="146"/>
      <c r="B147" s="146"/>
      <c r="C147" s="146"/>
      <c r="D147" s="146"/>
      <c r="I147"/>
    </row>
    <row r="148" spans="1:9" ht="12.75">
      <c r="A148" s="146"/>
      <c r="B148" s="146"/>
      <c r="C148" s="146"/>
      <c r="D148" s="146"/>
      <c r="I148"/>
    </row>
    <row r="149" spans="1:8" ht="12.75">
      <c r="A149" s="146"/>
      <c r="B149" s="146"/>
      <c r="C149" s="3"/>
      <c r="D149" s="3"/>
      <c r="E149" s="146"/>
      <c r="F149" s="146"/>
      <c r="G149" s="146"/>
      <c r="H149" s="146"/>
    </row>
    <row r="150" spans="1:8" ht="12.75">
      <c r="A150" s="4"/>
      <c r="B150" s="4"/>
      <c r="C150" s="3"/>
      <c r="D150" s="3"/>
      <c r="E150" s="146"/>
      <c r="F150" s="146"/>
      <c r="G150" s="146"/>
      <c r="H150" s="146"/>
    </row>
    <row r="151" spans="1:8" ht="12.75">
      <c r="A151" s="4"/>
      <c r="B151" s="4"/>
      <c r="C151" s="3"/>
      <c r="D151" s="3"/>
      <c r="E151" s="146"/>
      <c r="F151" s="146"/>
      <c r="G151" s="146"/>
      <c r="H151" s="146"/>
    </row>
    <row r="152" spans="1:8" ht="12.75">
      <c r="A152" s="4"/>
      <c r="B152" s="4"/>
      <c r="C152" s="3"/>
      <c r="D152" s="3"/>
      <c r="E152" s="146"/>
      <c r="F152" s="146"/>
      <c r="G152" s="146"/>
      <c r="H152" s="146"/>
    </row>
    <row r="153" spans="1:8" ht="12.75">
      <c r="A153" s="4"/>
      <c r="B153" s="4"/>
      <c r="C153" s="3"/>
      <c r="D153" s="3"/>
      <c r="E153" s="146"/>
      <c r="F153" s="146"/>
      <c r="G153" s="146"/>
      <c r="H153" s="146"/>
    </row>
    <row r="154" spans="1:8" ht="12.75">
      <c r="A154" s="4"/>
      <c r="B154" s="4"/>
      <c r="C154" s="3"/>
      <c r="D154" s="3"/>
      <c r="E154" s="146"/>
      <c r="F154" s="146"/>
      <c r="G154" s="146"/>
      <c r="H154" s="146"/>
    </row>
    <row r="155" spans="1:8" ht="12.75">
      <c r="A155" s="4"/>
      <c r="B155" s="4"/>
      <c r="C155" s="3"/>
      <c r="D155" s="3"/>
      <c r="E155" s="146"/>
      <c r="F155" s="146"/>
      <c r="G155" s="146"/>
      <c r="H155" s="146"/>
    </row>
    <row r="156" spans="1:8" ht="12.75">
      <c r="A156" s="4"/>
      <c r="B156" s="4"/>
      <c r="C156" s="3"/>
      <c r="D156" s="3"/>
      <c r="E156" s="146"/>
      <c r="F156" s="146"/>
      <c r="G156" s="146"/>
      <c r="H156" s="146"/>
    </row>
    <row r="157" spans="1:8" ht="12.75">
      <c r="A157" s="4"/>
      <c r="B157" s="4"/>
      <c r="C157" s="3"/>
      <c r="D157" s="3"/>
      <c r="E157" s="146"/>
      <c r="F157" s="146"/>
      <c r="G157" s="146"/>
      <c r="H157" s="146"/>
    </row>
    <row r="158" spans="1:8" ht="12.75">
      <c r="A158" s="4"/>
      <c r="B158" s="4"/>
      <c r="C158" s="3"/>
      <c r="D158" s="3"/>
      <c r="E158" s="146"/>
      <c r="F158" s="146"/>
      <c r="G158" s="146"/>
      <c r="H158" s="146"/>
    </row>
    <row r="159" spans="1:8" ht="12.75">
      <c r="A159" s="4"/>
      <c r="B159" s="4"/>
      <c r="C159" s="3"/>
      <c r="D159" s="3"/>
      <c r="E159" s="146"/>
      <c r="F159" s="146"/>
      <c r="G159" s="146"/>
      <c r="H159" s="146"/>
    </row>
    <row r="160" spans="1:8" ht="12.75">
      <c r="A160" s="4"/>
      <c r="B160" s="4"/>
      <c r="C160" s="3"/>
      <c r="D160" s="3"/>
      <c r="E160" s="146"/>
      <c r="F160" s="146"/>
      <c r="G160" s="146"/>
      <c r="H160" s="146"/>
    </row>
    <row r="161" spans="1:11" s="144" customFormat="1" ht="12.75">
      <c r="A161" s="4"/>
      <c r="B161" s="4"/>
      <c r="C161" s="3"/>
      <c r="D161" s="3"/>
      <c r="E161" s="146"/>
      <c r="F161" s="146"/>
      <c r="G161" s="146"/>
      <c r="H161" s="146"/>
      <c r="J161"/>
      <c r="K161" s="385"/>
    </row>
    <row r="162" spans="1:11" s="144" customFormat="1" ht="12.75">
      <c r="A162" s="4"/>
      <c r="B162" s="4"/>
      <c r="C162" s="3"/>
      <c r="D162" s="3"/>
      <c r="E162" s="146"/>
      <c r="F162" s="146"/>
      <c r="G162" s="146"/>
      <c r="H162" s="146"/>
      <c r="J162"/>
      <c r="K162" s="385"/>
    </row>
    <row r="163" spans="1:11" s="144" customFormat="1" ht="12.75">
      <c r="A163" s="4"/>
      <c r="B163" s="4"/>
      <c r="C163" s="3"/>
      <c r="D163" s="3"/>
      <c r="E163" s="146"/>
      <c r="F163" s="146"/>
      <c r="G163" s="146"/>
      <c r="H163" s="146"/>
      <c r="J163"/>
      <c r="K163" s="385"/>
    </row>
    <row r="164" spans="1:11" s="144" customFormat="1" ht="12.75">
      <c r="A164" s="4"/>
      <c r="B164" s="4"/>
      <c r="C164" s="3"/>
      <c r="D164" s="3"/>
      <c r="E164" s="146"/>
      <c r="F164" s="146"/>
      <c r="G164" s="146"/>
      <c r="H164" s="146"/>
      <c r="J164"/>
      <c r="K164" s="385"/>
    </row>
    <row r="165" spans="1:11" s="144" customFormat="1" ht="12.75">
      <c r="A165" s="4"/>
      <c r="B165" s="4"/>
      <c r="C165" s="3"/>
      <c r="D165" s="3"/>
      <c r="E165" s="146"/>
      <c r="F165" s="146"/>
      <c r="G165" s="146"/>
      <c r="H165" s="146"/>
      <c r="J165"/>
      <c r="K165" s="385"/>
    </row>
    <row r="166" spans="1:11" s="144" customFormat="1" ht="12.75">
      <c r="A166" s="4"/>
      <c r="B166" s="4"/>
      <c r="C166" s="3"/>
      <c r="D166" s="3"/>
      <c r="E166" s="146"/>
      <c r="F166" s="146"/>
      <c r="G166" s="146"/>
      <c r="H166" s="146"/>
      <c r="J166"/>
      <c r="K166" s="385"/>
    </row>
    <row r="167" spans="1:11" s="144" customFormat="1" ht="12.75">
      <c r="A167" s="4"/>
      <c r="B167" s="4"/>
      <c r="C167" s="3"/>
      <c r="D167" s="3"/>
      <c r="E167" s="146"/>
      <c r="F167" s="146"/>
      <c r="G167" s="146"/>
      <c r="H167" s="146"/>
      <c r="J167"/>
      <c r="K167" s="385"/>
    </row>
    <row r="168" spans="1:11" s="144" customFormat="1" ht="12.75">
      <c r="A168" s="4"/>
      <c r="B168" s="4"/>
      <c r="C168" s="3"/>
      <c r="D168" s="3"/>
      <c r="E168" s="146"/>
      <c r="F168" s="146"/>
      <c r="G168" s="146"/>
      <c r="H168" s="146"/>
      <c r="J168"/>
      <c r="K168" s="385"/>
    </row>
    <row r="169" spans="1:11" s="144" customFormat="1" ht="12.75">
      <c r="A169" s="4"/>
      <c r="B169" s="4"/>
      <c r="C169" s="3"/>
      <c r="D169" s="3"/>
      <c r="E169" s="146"/>
      <c r="F169" s="146"/>
      <c r="G169" s="146"/>
      <c r="H169" s="146"/>
      <c r="J169"/>
      <c r="K169" s="385"/>
    </row>
    <row r="170" spans="1:11" s="144" customFormat="1" ht="12.75">
      <c r="A170" s="4"/>
      <c r="B170" s="4"/>
      <c r="C170" s="3"/>
      <c r="D170" s="3"/>
      <c r="E170" s="146"/>
      <c r="F170" s="146"/>
      <c r="G170" s="146"/>
      <c r="H170" s="146"/>
      <c r="J170"/>
      <c r="K170" s="385"/>
    </row>
    <row r="171" spans="1:11" s="144" customFormat="1" ht="12.75">
      <c r="A171" s="4"/>
      <c r="B171" s="4"/>
      <c r="C171" s="3"/>
      <c r="D171" s="3"/>
      <c r="E171" s="146"/>
      <c r="F171" s="146"/>
      <c r="G171" s="146"/>
      <c r="H171" s="146"/>
      <c r="J171"/>
      <c r="K171" s="385"/>
    </row>
    <row r="172" spans="1:11" s="144" customFormat="1" ht="12.75">
      <c r="A172" s="4"/>
      <c r="B172" s="4"/>
      <c r="C172" s="3"/>
      <c r="D172" s="3"/>
      <c r="E172" s="146"/>
      <c r="F172" s="146"/>
      <c r="G172" s="146"/>
      <c r="H172" s="146"/>
      <c r="J172"/>
      <c r="K172" s="385"/>
    </row>
    <row r="173" spans="1:11" s="144" customFormat="1" ht="12.75">
      <c r="A173" s="4"/>
      <c r="B173" s="4"/>
      <c r="C173" s="3"/>
      <c r="D173" s="3"/>
      <c r="E173" s="146"/>
      <c r="F173" s="146"/>
      <c r="G173" s="146"/>
      <c r="H173" s="146"/>
      <c r="J173"/>
      <c r="K173" s="385"/>
    </row>
    <row r="174" spans="1:11" s="144" customFormat="1" ht="12.75">
      <c r="A174" s="4"/>
      <c r="B174" s="4"/>
      <c r="C174" s="3"/>
      <c r="D174" s="3"/>
      <c r="E174" s="146"/>
      <c r="F174" s="146"/>
      <c r="G174" s="146"/>
      <c r="H174" s="146"/>
      <c r="J174"/>
      <c r="K174" s="385"/>
    </row>
    <row r="175" spans="1:11" s="144" customFormat="1" ht="12.75">
      <c r="A175" s="4"/>
      <c r="B175" s="4"/>
      <c r="C175"/>
      <c r="D175"/>
      <c r="E175" s="146"/>
      <c r="F175" s="146"/>
      <c r="G175" s="146"/>
      <c r="H175" s="146"/>
      <c r="J175"/>
      <c r="K175" s="385"/>
    </row>
  </sheetData>
  <sheetProtection/>
  <mergeCells count="10">
    <mergeCell ref="F2:F3"/>
    <mergeCell ref="G2:G3"/>
    <mergeCell ref="E2:E3"/>
    <mergeCell ref="I2:I3"/>
    <mergeCell ref="A1:I1"/>
    <mergeCell ref="A2:A3"/>
    <mergeCell ref="C2:C3"/>
    <mergeCell ref="B2:B3"/>
    <mergeCell ref="D2:D3"/>
    <mergeCell ref="H2:H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105" r:id="rId1"/>
  <headerFooter alignWithMargins="0">
    <oddFooter>&amp;R&amp;P</oddFooter>
  </headerFooter>
  <rowBreaks count="4" manualBreakCount="4">
    <brk id="32" max="6" man="1"/>
    <brk id="54" max="6" man="1"/>
    <brk id="80" max="6" man="1"/>
    <brk id="8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70" workbookViewId="0" topLeftCell="A1">
      <selection activeCell="B54" sqref="B54:F56"/>
    </sheetView>
  </sheetViews>
  <sheetFormatPr defaultColWidth="9.140625" defaultRowHeight="12.75" customHeight="1"/>
  <cols>
    <col min="1" max="1" width="8.8515625" style="0" customWidth="1"/>
    <col min="2" max="2" width="70.28125" style="0" customWidth="1"/>
    <col min="3" max="5" width="14.8515625" style="0" customWidth="1"/>
    <col min="6" max="6" width="15.140625" style="0" customWidth="1"/>
    <col min="7" max="7" width="11.140625" style="0" customWidth="1"/>
    <col min="8" max="8" width="9.421875" style="0" customWidth="1"/>
    <col min="9" max="9" width="19.57421875" style="0" customWidth="1"/>
    <col min="10" max="10" width="10.140625" style="0" bestFit="1" customWidth="1"/>
    <col min="11" max="11" width="11.00390625" style="0" bestFit="1" customWidth="1"/>
  </cols>
  <sheetData>
    <row r="1" spans="1:9" ht="39" customHeight="1" thickBot="1">
      <c r="A1" s="540" t="s">
        <v>551</v>
      </c>
      <c r="B1" s="541"/>
      <c r="C1" s="541"/>
      <c r="D1" s="541"/>
      <c r="E1" s="541"/>
      <c r="F1" s="541"/>
      <c r="G1" s="541"/>
      <c r="H1" s="542"/>
      <c r="I1" s="128"/>
    </row>
    <row r="2" spans="1:8" ht="96.75" customHeight="1" thickTop="1">
      <c r="A2" s="416" t="s">
        <v>63</v>
      </c>
      <c r="B2" s="114" t="s">
        <v>233</v>
      </c>
      <c r="C2" s="417" t="s">
        <v>485</v>
      </c>
      <c r="D2" s="417" t="s">
        <v>552</v>
      </c>
      <c r="E2" s="417" t="s">
        <v>534</v>
      </c>
      <c r="F2" s="417" t="s">
        <v>550</v>
      </c>
      <c r="G2" s="417" t="s">
        <v>118</v>
      </c>
      <c r="H2" s="418" t="s">
        <v>223</v>
      </c>
    </row>
    <row r="3" spans="1:8" ht="15.75" customHeight="1">
      <c r="A3" s="213">
        <v>1</v>
      </c>
      <c r="B3" s="306">
        <v>2</v>
      </c>
      <c r="C3" s="307">
        <v>3</v>
      </c>
      <c r="D3" s="307">
        <v>4</v>
      </c>
      <c r="E3" s="307" t="s">
        <v>536</v>
      </c>
      <c r="F3" s="307">
        <v>6</v>
      </c>
      <c r="G3" s="307" t="s">
        <v>537</v>
      </c>
      <c r="H3" s="111">
        <v>8</v>
      </c>
    </row>
    <row r="4" spans="1:9" ht="24" customHeight="1">
      <c r="A4" s="165"/>
      <c r="B4" s="166" t="s">
        <v>419</v>
      </c>
      <c r="C4" s="168">
        <f>C5+C36+C41</f>
        <v>11399200</v>
      </c>
      <c r="D4" s="168">
        <f>D5+D36+D41</f>
        <v>56334.45999999999</v>
      </c>
      <c r="E4" s="168">
        <f>E5+E36+E41</f>
        <v>11455534.46</v>
      </c>
      <c r="F4" s="168">
        <f>F5+F36+F41</f>
        <v>5578958.619999999</v>
      </c>
      <c r="G4" s="168">
        <f>IF(E4&gt;0,F4/E4*100,0)</f>
        <v>48.70098937313134</v>
      </c>
      <c r="H4" s="167">
        <f>F4/$F$52*100</f>
        <v>91.03115850298246</v>
      </c>
      <c r="I4" s="1"/>
    </row>
    <row r="5" spans="1:9" ht="15.75" customHeight="1">
      <c r="A5" s="258">
        <v>410000</v>
      </c>
      <c r="B5" s="142" t="s">
        <v>426</v>
      </c>
      <c r="C5" s="196">
        <f>C6+C11+C21+C25+C27+C29+C32+C34</f>
        <v>11057500</v>
      </c>
      <c r="D5" s="196">
        <f>D6+D11+D21+D25+D27+D29+D32+D34</f>
        <v>149575.96</v>
      </c>
      <c r="E5" s="196">
        <f>E6+E11+E21+E25+E27+E29+E32+E34</f>
        <v>11207075.96</v>
      </c>
      <c r="F5" s="196">
        <f>F6+F11+F21+F25+F27+F29+F32+F34</f>
        <v>5483949.139999999</v>
      </c>
      <c r="G5" s="196">
        <f aca="true" t="shared" si="0" ref="G5:G52">IF(E5&gt;0,F5/E5*100,0)</f>
        <v>48.93291666419648</v>
      </c>
      <c r="H5" s="419">
        <f aca="true" t="shared" si="1" ref="H5:H52">F5/$F$52*100</f>
        <v>89.48090089717037</v>
      </c>
      <c r="I5" s="1"/>
    </row>
    <row r="6" spans="1:11" ht="15.75" customHeight="1">
      <c r="A6" s="200">
        <v>411000</v>
      </c>
      <c r="B6" s="116" t="s">
        <v>414</v>
      </c>
      <c r="C6" s="124">
        <f>SUM(C7:C10)</f>
        <v>3861000</v>
      </c>
      <c r="D6" s="124">
        <f>SUM(D7:D10)</f>
        <v>1000</v>
      </c>
      <c r="E6" s="124">
        <f>SUM(E7:E10)</f>
        <v>3862000</v>
      </c>
      <c r="F6" s="124">
        <f>SUM(F7:F10)</f>
        <v>1972227.4399999997</v>
      </c>
      <c r="G6" s="124">
        <f t="shared" si="0"/>
        <v>51.067515277058504</v>
      </c>
      <c r="H6" s="284">
        <f t="shared" si="1"/>
        <v>32.18058439275023</v>
      </c>
      <c r="I6" s="1"/>
      <c r="J6" s="1"/>
      <c r="K6" s="91"/>
    </row>
    <row r="7" spans="1:11" ht="13.5" customHeight="1">
      <c r="A7" s="199">
        <v>411100</v>
      </c>
      <c r="B7" s="256" t="s">
        <v>408</v>
      </c>
      <c r="C7" s="125">
        <f>SUMIF(Org!$C$10:Org!$D$492,411100,Org!E$10:Org!E$493)</f>
        <v>2851000</v>
      </c>
      <c r="D7" s="125">
        <f>SUMIF(Org!$C$10:Org!$D$492,411100,Org!F$10:Org!F$493)</f>
        <v>-1000</v>
      </c>
      <c r="E7" s="125">
        <f>SUMIF(Org!$C$10:Org!$D$492,411100,Org!G$10:Org!G$493)</f>
        <v>2850000</v>
      </c>
      <c r="F7" s="125">
        <f>SUMIF(Org!$C$10:Org!$D$492,411100,Org!H$10:Org!H$493)</f>
        <v>1620658.7199999997</v>
      </c>
      <c r="G7" s="315">
        <f t="shared" si="0"/>
        <v>56.865218245614024</v>
      </c>
      <c r="H7" s="316">
        <f t="shared" si="1"/>
        <v>26.444082286374922</v>
      </c>
      <c r="I7" s="1"/>
      <c r="J7" s="1"/>
      <c r="K7" s="91"/>
    </row>
    <row r="8" spans="1:11" ht="25.5" customHeight="1">
      <c r="A8" s="199">
        <v>411200</v>
      </c>
      <c r="B8" s="257" t="s">
        <v>415</v>
      </c>
      <c r="C8" s="125">
        <f>SUMIF(Org!$C$8:Org!$D$492,411200,Org!E$8:Org!E$494)</f>
        <v>756500</v>
      </c>
      <c r="D8" s="125">
        <f>SUMIF(Org!$C$8:Org!$D$492,411200,Org!F$8:Org!F$494)</f>
        <v>1000</v>
      </c>
      <c r="E8" s="125">
        <f>SUMIF(Org!$C$8:Org!$D$492,411200,Org!G$8:Org!G$494)</f>
        <v>757500</v>
      </c>
      <c r="F8" s="125">
        <f>SUMIF(Org!$C$8:Org!$D$492,411200,Org!H$8:Org!H$494)</f>
        <v>309449.36999999994</v>
      </c>
      <c r="G8" s="315">
        <f t="shared" si="0"/>
        <v>40.85140198019801</v>
      </c>
      <c r="H8" s="316">
        <f t="shared" si="1"/>
        <v>5.049246027409693</v>
      </c>
      <c r="I8" s="1"/>
      <c r="J8" s="1"/>
      <c r="K8" s="91"/>
    </row>
    <row r="9" spans="1:11" ht="14.25" customHeight="1">
      <c r="A9" s="199">
        <v>411300</v>
      </c>
      <c r="B9" s="256" t="s">
        <v>409</v>
      </c>
      <c r="C9" s="125">
        <f>SUMIF(Org!$C$10:Org!$D$492,411300,Org!E$10:Org!E$494)</f>
        <v>38000</v>
      </c>
      <c r="D9" s="125">
        <f>SUMIF(Org!$C$10:Org!$D$492,411300,Org!F$10:Org!F$494)</f>
        <v>1000</v>
      </c>
      <c r="E9" s="125">
        <f>SUMIF(Org!$C$10:Org!$D$492,411300,Org!G$10:Org!G$494)</f>
        <v>39000</v>
      </c>
      <c r="F9" s="125">
        <f>SUMIF(Org!$C$10:Org!$D$492,411300,Org!H$10:Org!H$494)</f>
        <v>23692.73</v>
      </c>
      <c r="G9" s="315">
        <f t="shared" si="0"/>
        <v>60.75058974358974</v>
      </c>
      <c r="H9" s="316">
        <f t="shared" si="1"/>
        <v>0.38659126315555425</v>
      </c>
      <c r="I9" s="1"/>
      <c r="J9" s="1"/>
      <c r="K9" s="91"/>
    </row>
    <row r="10" spans="1:11" ht="14.25" customHeight="1">
      <c r="A10" s="199">
        <v>411400</v>
      </c>
      <c r="B10" s="256" t="s">
        <v>410</v>
      </c>
      <c r="C10" s="125">
        <f>SUMIF(Org!$C$10:Org!$D$492,411400,Org!E$10:Org!E$494)</f>
        <v>215500</v>
      </c>
      <c r="D10" s="125">
        <f>SUMIF(Org!$C$10:Org!$D$492,411400,Org!F$10:Org!F$494)</f>
        <v>0</v>
      </c>
      <c r="E10" s="125">
        <f>SUMIF(Org!$C$10:Org!$D$492,411400,Org!G$10:Org!G$494)</f>
        <v>215500</v>
      </c>
      <c r="F10" s="125">
        <f>SUMIF(Org!$C$10:Org!$D$492,411400,Org!H$10:Org!H$494)</f>
        <v>18426.62</v>
      </c>
      <c r="G10" s="315">
        <f t="shared" si="0"/>
        <v>8.550635730858467</v>
      </c>
      <c r="H10" s="316">
        <f t="shared" si="1"/>
        <v>0.3006648158100565</v>
      </c>
      <c r="I10" s="1"/>
      <c r="J10" s="1"/>
      <c r="K10" s="91"/>
    </row>
    <row r="11" spans="1:9" ht="15.75" customHeight="1">
      <c r="A11" s="200">
        <v>412000</v>
      </c>
      <c r="B11" s="117" t="s">
        <v>143</v>
      </c>
      <c r="C11" s="124">
        <f>SUM(C12:C20)</f>
        <v>2593050</v>
      </c>
      <c r="D11" s="124">
        <f>SUM(D12:D20)</f>
        <v>66613.95999999999</v>
      </c>
      <c r="E11" s="124">
        <f>SUM(E12:E20)</f>
        <v>2659663.96</v>
      </c>
      <c r="F11" s="124">
        <f>SUM(F12:F20)</f>
        <v>1351400.67</v>
      </c>
      <c r="G11" s="124">
        <f t="shared" si="0"/>
        <v>50.81095545619229</v>
      </c>
      <c r="H11" s="284">
        <f t="shared" si="1"/>
        <v>22.05063291754738</v>
      </c>
      <c r="I11" s="1"/>
    </row>
    <row r="12" spans="1:15" ht="15" customHeight="1">
      <c r="A12" s="201">
        <v>412100</v>
      </c>
      <c r="B12" s="118" t="s">
        <v>144</v>
      </c>
      <c r="C12" s="125">
        <f>SUMIF(Org!$C$10:Org!$D$492,412100,Org!E$10:Org!E$493)</f>
        <v>52850</v>
      </c>
      <c r="D12" s="125">
        <f>SUMIF(Org!$C$10:Org!$D$492,412100,Org!F$10:Org!F$493)</f>
        <v>0</v>
      </c>
      <c r="E12" s="125">
        <f>SUMIF(Org!$C$10:Org!$D$492,412100,Org!G$10:Org!G$493)</f>
        <v>52850</v>
      </c>
      <c r="F12" s="125">
        <f>SUMIF(Org!$C$10:Org!$D$492,412100,Org!H$10:Org!H$493)</f>
        <v>24529.269999999997</v>
      </c>
      <c r="G12" s="315">
        <f t="shared" si="0"/>
        <v>46.4129990539262</v>
      </c>
      <c r="H12" s="316">
        <f t="shared" si="1"/>
        <v>0.40024097997924435</v>
      </c>
      <c r="K12" s="1"/>
      <c r="L12" s="1"/>
      <c r="M12" s="1"/>
      <c r="N12" s="1"/>
      <c r="O12" s="1"/>
    </row>
    <row r="13" spans="1:15" ht="27" customHeight="1">
      <c r="A13" s="201">
        <v>412200</v>
      </c>
      <c r="B13" s="118" t="s">
        <v>145</v>
      </c>
      <c r="C13" s="125">
        <f>SUMIF(Org!$C$10:Org!$D$492,412200,Org!E$10:Org!E$493)</f>
        <v>444400</v>
      </c>
      <c r="D13" s="125">
        <f>SUMIF(Org!$C$10:Org!$D$492,412200,Org!F$10:Org!F$493)</f>
        <v>605</v>
      </c>
      <c r="E13" s="125">
        <f>SUMIF(Org!$C$10:Org!$D$492,412200,Org!G$10:Org!G$493)</f>
        <v>445005</v>
      </c>
      <c r="F13" s="125">
        <f>SUMIF(Org!$C$10:Org!$D$492,412200,Org!H$10:Org!H$493)</f>
        <v>195712.89</v>
      </c>
      <c r="G13" s="315">
        <f t="shared" si="0"/>
        <v>43.97993056257795</v>
      </c>
      <c r="H13" s="316">
        <f t="shared" si="1"/>
        <v>3.1934223435173594</v>
      </c>
      <c r="K13" s="1"/>
      <c r="L13" s="1"/>
      <c r="M13" s="1"/>
      <c r="N13" s="1"/>
      <c r="O13" s="1"/>
    </row>
    <row r="14" spans="1:15" ht="14.25" customHeight="1">
      <c r="A14" s="201">
        <v>412300</v>
      </c>
      <c r="B14" s="119" t="s">
        <v>146</v>
      </c>
      <c r="C14" s="125">
        <f>SUMIF(Org!$C$10:Org!$D$492,412300,Org!E$10:Org!E$493)</f>
        <v>80700</v>
      </c>
      <c r="D14" s="125">
        <f>SUMIF(Org!$C$10:Org!$D$492,412300,Org!F$10:Org!F$493)</f>
        <v>-85.04</v>
      </c>
      <c r="E14" s="125">
        <f>SUMIF(Org!$C$10:Org!$D$492,412300,Org!G$10:Org!G$493)</f>
        <v>80614.96</v>
      </c>
      <c r="F14" s="125">
        <f>SUMIF(Org!$C$10:Org!$D$492,412300,Org!H$10:Org!H$493)</f>
        <v>31199.29</v>
      </c>
      <c r="G14" s="315">
        <f t="shared" si="0"/>
        <v>38.7016131993367</v>
      </c>
      <c r="H14" s="316">
        <f t="shared" si="1"/>
        <v>0.5090748483039503</v>
      </c>
      <c r="K14" s="1"/>
      <c r="L14" s="1"/>
      <c r="M14" s="1"/>
      <c r="N14" s="1"/>
      <c r="O14" s="1"/>
    </row>
    <row r="15" spans="1:15" ht="14.25" customHeight="1">
      <c r="A15" s="201">
        <v>412400</v>
      </c>
      <c r="B15" s="119" t="s">
        <v>147</v>
      </c>
      <c r="C15" s="125">
        <f>SUMIF(Org!$C$10:Org!$D$492,412400,Org!E$10:Org!E$493)</f>
        <v>84200</v>
      </c>
      <c r="D15" s="125">
        <f>SUMIF(Org!$C$10:Org!$D$492,412400,Org!F$10:Org!F$493)</f>
        <v>200</v>
      </c>
      <c r="E15" s="125">
        <f>SUMIF(Org!$C$10:Org!$D$492,412400,Org!G$10:Org!G$493)</f>
        <v>84400</v>
      </c>
      <c r="F15" s="125">
        <f>SUMIF(Org!$C$10:Org!$D$492,412400,Org!H$10:Org!H$493)</f>
        <v>26076.079999999998</v>
      </c>
      <c r="G15" s="315">
        <f t="shared" si="0"/>
        <v>30.89582938388625</v>
      </c>
      <c r="H15" s="316">
        <f t="shared" si="1"/>
        <v>0.42548008209038324</v>
      </c>
      <c r="K15" s="1"/>
      <c r="L15" s="1"/>
      <c r="M15" s="1"/>
      <c r="N15" s="1"/>
      <c r="O15" s="1"/>
    </row>
    <row r="16" spans="1:15" ht="13.5" customHeight="1">
      <c r="A16" s="201">
        <v>412500</v>
      </c>
      <c r="B16" s="119" t="s">
        <v>148</v>
      </c>
      <c r="C16" s="125">
        <f>SUMIF(Org!$C$10:Org!$D$492,412500,Org!E$10:Org!E$493)</f>
        <v>422000</v>
      </c>
      <c r="D16" s="125">
        <f>SUMIF(Org!$C$10:Org!$D$492,412500,Org!F$10:Org!F$493)</f>
        <v>-58200</v>
      </c>
      <c r="E16" s="125">
        <f>SUMIF(Org!$C$10:Org!$D$492,412500,Org!G$10:Org!G$493)</f>
        <v>363800</v>
      </c>
      <c r="F16" s="125">
        <f>SUMIF(Org!$C$10:Org!$D$492,412500,Org!H$10:Org!H$493)</f>
        <v>138431.29</v>
      </c>
      <c r="G16" s="315">
        <f t="shared" si="0"/>
        <v>38.05148158328752</v>
      </c>
      <c r="H16" s="316">
        <f t="shared" si="1"/>
        <v>2.2587657590050982</v>
      </c>
      <c r="K16" s="1"/>
      <c r="L16" s="1"/>
      <c r="M16" s="1"/>
      <c r="N16" s="1"/>
      <c r="O16" s="1"/>
    </row>
    <row r="17" spans="1:15" ht="12.75" customHeight="1">
      <c r="A17" s="201">
        <v>412600</v>
      </c>
      <c r="B17" s="119" t="s">
        <v>149</v>
      </c>
      <c r="C17" s="125">
        <f>SUMIF(Org!$C$10:Org!$D$492,412600,Org!E$10:Org!E$493)</f>
        <v>10100</v>
      </c>
      <c r="D17" s="125">
        <f>SUMIF(Org!$C$10:Org!$D$492,412600,Org!F$10:Org!F$493)</f>
        <v>0</v>
      </c>
      <c r="E17" s="125">
        <f>SUMIF(Org!$C$10:Org!$D$492,412600,Org!G$10:Org!G$493)</f>
        <v>10100</v>
      </c>
      <c r="F17" s="125">
        <f>SUMIF(Org!$C$10:Org!$D$492,412600,Org!H$10:Org!H$493)</f>
        <v>4795.070000000001</v>
      </c>
      <c r="G17" s="315">
        <f t="shared" si="0"/>
        <v>47.47594059405941</v>
      </c>
      <c r="H17" s="316">
        <f t="shared" si="1"/>
        <v>0.07824054755274314</v>
      </c>
      <c r="K17" s="1"/>
      <c r="L17" s="1"/>
      <c r="M17" s="1"/>
      <c r="N17" s="1"/>
      <c r="O17" s="1"/>
    </row>
    <row r="18" spans="1:15" ht="12.75" customHeight="1">
      <c r="A18" s="201">
        <v>412700</v>
      </c>
      <c r="B18" s="118" t="s">
        <v>150</v>
      </c>
      <c r="C18" s="125">
        <f>SUMIF(Org!$C$10:Org!$D$492,412700,Org!E$10:Org!E$493)</f>
        <v>361600</v>
      </c>
      <c r="D18" s="125">
        <f>SUMIF(Org!$C$10:Org!$D$492,412700,Org!F$10:Org!F$493)</f>
        <v>20000</v>
      </c>
      <c r="E18" s="125">
        <f>SUMIF(Org!$C$10:Org!$D$492,412700,Org!G$10:Org!G$493)</f>
        <v>381600</v>
      </c>
      <c r="F18" s="125">
        <f>SUMIF(Org!$C$10:Org!$D$492,412700,Org!H$10:Org!H$493)</f>
        <v>153488.74999999997</v>
      </c>
      <c r="G18" s="315">
        <f t="shared" si="0"/>
        <v>40.222418763102716</v>
      </c>
      <c r="H18" s="316">
        <f t="shared" si="1"/>
        <v>2.5044564194445753</v>
      </c>
      <c r="K18" s="1"/>
      <c r="L18" s="1"/>
      <c r="M18" s="1"/>
      <c r="N18" s="1"/>
      <c r="O18" s="1"/>
    </row>
    <row r="19" spans="1:15" ht="15" customHeight="1">
      <c r="A19" s="202">
        <v>412800</v>
      </c>
      <c r="B19" s="157" t="s">
        <v>151</v>
      </c>
      <c r="C19" s="125">
        <f>SUMIF(Org!$C$10:Org!$D$492,412800,Org!E$10:Org!E$493)</f>
        <v>585000</v>
      </c>
      <c r="D19" s="125">
        <f>SUMIF(Org!$C$10:Org!$D$492,412800,Org!F$10:Org!F$493)</f>
        <v>120000</v>
      </c>
      <c r="E19" s="125">
        <f>SUMIF(Org!$C$10:Org!$D$492,412800,Org!G$10:Org!G$493)</f>
        <v>705000</v>
      </c>
      <c r="F19" s="125">
        <f>SUMIF(Org!$C$10:Org!$D$492,412800,Org!H$10:Org!H$493)</f>
        <v>510960.57999999996</v>
      </c>
      <c r="G19" s="315">
        <f t="shared" si="0"/>
        <v>72.47667801418439</v>
      </c>
      <c r="H19" s="316">
        <f t="shared" si="1"/>
        <v>8.337278821178254</v>
      </c>
      <c r="K19" s="1"/>
      <c r="L19" s="1"/>
      <c r="M19" s="1"/>
      <c r="N19" s="1"/>
      <c r="O19" s="1"/>
    </row>
    <row r="20" spans="1:15" ht="12.75" customHeight="1">
      <c r="A20" s="202">
        <v>412900</v>
      </c>
      <c r="B20" s="158" t="s">
        <v>416</v>
      </c>
      <c r="C20" s="125">
        <f>SUMIF(Org!$C$10:Org!$D$492,412900,Org!E$10:Org!E$493)</f>
        <v>552200</v>
      </c>
      <c r="D20" s="125">
        <f>SUMIF(Org!$C$10:Org!$D$492,412900,Org!F$10:Org!F$493)</f>
        <v>-15906</v>
      </c>
      <c r="E20" s="125">
        <f>SUMIF(Org!$C$10:Org!$D$492,412900,Org!G$10:Org!G$493)</f>
        <v>536294</v>
      </c>
      <c r="F20" s="125">
        <f>SUMIF(Org!$C$10:Org!$D$492,412900,Org!H$10:Org!H$493)</f>
        <v>266207.45</v>
      </c>
      <c r="G20" s="315">
        <f t="shared" si="0"/>
        <v>49.63834202881255</v>
      </c>
      <c r="H20" s="316">
        <f t="shared" si="1"/>
        <v>4.343673116475774</v>
      </c>
      <c r="K20" s="1"/>
      <c r="L20" s="1"/>
      <c r="M20" s="1"/>
      <c r="N20" s="1"/>
      <c r="O20" s="1"/>
    </row>
    <row r="21" spans="1:15" ht="15.75" customHeight="1">
      <c r="A21" s="200">
        <v>413000</v>
      </c>
      <c r="B21" s="121" t="s">
        <v>153</v>
      </c>
      <c r="C21" s="126">
        <f>SUM(C22:C24)</f>
        <v>286500</v>
      </c>
      <c r="D21" s="126">
        <f>SUM(D22:D24)</f>
        <v>-10400</v>
      </c>
      <c r="E21" s="126">
        <f>SUM(E22:E24)</f>
        <v>276100</v>
      </c>
      <c r="F21" s="126">
        <f>SUM(F22:F24)</f>
        <v>131505.51</v>
      </c>
      <c r="G21" s="126">
        <f t="shared" si="0"/>
        <v>47.62966678739588</v>
      </c>
      <c r="H21" s="420">
        <f t="shared" si="1"/>
        <v>2.145758687277295</v>
      </c>
      <c r="I21" s="1"/>
      <c r="K21" s="1"/>
      <c r="L21" s="1"/>
      <c r="M21" s="1"/>
      <c r="N21" s="1"/>
      <c r="O21" s="1"/>
    </row>
    <row r="22" spans="1:15" ht="16.5" customHeight="1">
      <c r="A22" s="199">
        <v>413300</v>
      </c>
      <c r="B22" s="118" t="s">
        <v>154</v>
      </c>
      <c r="C22" s="127">
        <f>SUMIF(Org!$C$10:Org!$D$492,413300,Org!E$10:Org!E$493)</f>
        <v>250500</v>
      </c>
      <c r="D22" s="127">
        <f>SUMIF(Org!$C$10:Org!$D$492,413300,Org!F$10:Org!F$493)</f>
        <v>0</v>
      </c>
      <c r="E22" s="127">
        <f>SUMIF(Org!$C$10:Org!$D$492,413300,Org!G$10:Org!G$493)</f>
        <v>250500</v>
      </c>
      <c r="F22" s="127">
        <f>SUMIF(Org!$C$10:Org!$D$492,413300,Org!H$10:Org!H$493)</f>
        <v>121005.51000000001</v>
      </c>
      <c r="G22" s="315">
        <f t="shared" si="0"/>
        <v>48.30559281437126</v>
      </c>
      <c r="H22" s="316">
        <f t="shared" si="1"/>
        <v>1.9744315222299018</v>
      </c>
      <c r="K22" s="1"/>
      <c r="L22" s="1"/>
      <c r="M22" s="1"/>
      <c r="N22" s="1"/>
      <c r="O22" s="1"/>
    </row>
    <row r="23" spans="1:15" ht="15" customHeight="1">
      <c r="A23" s="199">
        <v>413400</v>
      </c>
      <c r="B23" s="118" t="s">
        <v>155</v>
      </c>
      <c r="C23" s="127">
        <f>SUMIF(Org!$C$10:Org!$D$492,413400,Org!E$10:Org!E$493)</f>
        <v>0</v>
      </c>
      <c r="D23" s="127">
        <f>SUMIF(Org!$C$10:Org!$D$492,413400,Org!F$10:Org!F$493)</f>
        <v>0</v>
      </c>
      <c r="E23" s="127">
        <f>SUMIF(Org!$C$10:Org!$D$492,413400,Org!G$10:Org!G$493)</f>
        <v>0</v>
      </c>
      <c r="F23" s="127">
        <f>SUMIF(Org!$C$10:Org!$D$492,413400,Org!H$10:Org!H$493)</f>
        <v>0</v>
      </c>
      <c r="G23" s="315">
        <f t="shared" si="0"/>
        <v>0</v>
      </c>
      <c r="H23" s="316">
        <f t="shared" si="1"/>
        <v>0</v>
      </c>
      <c r="K23" s="1"/>
      <c r="L23" s="1"/>
      <c r="M23" s="1"/>
      <c r="N23" s="1"/>
      <c r="O23" s="1"/>
    </row>
    <row r="24" spans="1:15" ht="13.5" customHeight="1">
      <c r="A24" s="199">
        <v>413700</v>
      </c>
      <c r="B24" s="118" t="s">
        <v>156</v>
      </c>
      <c r="C24" s="127">
        <f>SUMIF(Org!$C$10:Org!$D$492,413700,Org!E$10:Org!E$493)</f>
        <v>36000</v>
      </c>
      <c r="D24" s="127">
        <f>SUMIF(Org!$C$10:Org!$D$492,413700,Org!F$10:Org!F$493)</f>
        <v>-10400</v>
      </c>
      <c r="E24" s="127">
        <f>SUMIF(Org!$C$10:Org!$D$492,413700,Org!G$10:Org!G$493)</f>
        <v>25600</v>
      </c>
      <c r="F24" s="127">
        <f>SUMIF(Org!$C$10:Org!$D$492,413700,Org!H$10:Org!H$493)</f>
        <v>10500</v>
      </c>
      <c r="G24" s="277">
        <f t="shared" si="0"/>
        <v>41.015625</v>
      </c>
      <c r="H24" s="482">
        <f t="shared" si="1"/>
        <v>0.17132716504739304</v>
      </c>
      <c r="K24" s="1"/>
      <c r="L24" s="1"/>
      <c r="M24" s="1"/>
      <c r="N24" s="1"/>
      <c r="O24" s="1"/>
    </row>
    <row r="25" spans="1:15" ht="15.75" customHeight="1">
      <c r="A25" s="200">
        <v>414000</v>
      </c>
      <c r="B25" s="116" t="s">
        <v>198</v>
      </c>
      <c r="C25" s="124">
        <f>SUM(C26)</f>
        <v>410000</v>
      </c>
      <c r="D25" s="124">
        <f>SUM(D26)</f>
        <v>0</v>
      </c>
      <c r="E25" s="124">
        <f>SUM(E26)</f>
        <v>410000</v>
      </c>
      <c r="F25" s="124">
        <f>SUM(F26)</f>
        <v>18563</v>
      </c>
      <c r="G25" s="124">
        <f t="shared" si="0"/>
        <v>4.527560975609756</v>
      </c>
      <c r="H25" s="284">
        <f t="shared" si="1"/>
        <v>0.3028901109309292</v>
      </c>
      <c r="I25" s="1"/>
      <c r="K25" s="1"/>
      <c r="L25" s="1"/>
      <c r="M25" s="1"/>
      <c r="N25" s="1"/>
      <c r="O25" s="1"/>
    </row>
    <row r="26" spans="1:15" ht="15" customHeight="1">
      <c r="A26" s="199">
        <v>414100</v>
      </c>
      <c r="B26" s="118" t="s">
        <v>198</v>
      </c>
      <c r="C26" s="127">
        <f>SUMIF(Org!$C$10:Org!$D$492,414100,Org!E$10:Org!E$493)</f>
        <v>410000</v>
      </c>
      <c r="D26" s="127">
        <f>SUMIF(Org!$C$10:Org!$D$492,414100,Org!F$10:Org!F$493)</f>
        <v>0</v>
      </c>
      <c r="E26" s="127">
        <f>SUMIF(Org!$C$10:Org!$D$492,414100,Org!G$10:Org!G$493)</f>
        <v>410000</v>
      </c>
      <c r="F26" s="127">
        <f>SUMIF(Org!$C$10:Org!$D$492,414100,Org!H$10:Org!H$493)</f>
        <v>18563</v>
      </c>
      <c r="G26" s="315">
        <f t="shared" si="0"/>
        <v>4.527560975609756</v>
      </c>
      <c r="H26" s="316">
        <f t="shared" si="1"/>
        <v>0.3028901109309292</v>
      </c>
      <c r="K26" s="1"/>
      <c r="L26" s="1"/>
      <c r="M26" s="1"/>
      <c r="N26" s="1"/>
      <c r="O26" s="1"/>
    </row>
    <row r="27" spans="1:15" ht="15.75" customHeight="1">
      <c r="A27" s="200">
        <v>415000</v>
      </c>
      <c r="B27" s="117" t="s">
        <v>157</v>
      </c>
      <c r="C27" s="124">
        <f>SUM(C28)</f>
        <v>1063800</v>
      </c>
      <c r="D27" s="124">
        <f>SUM(D28)</f>
        <v>44188</v>
      </c>
      <c r="E27" s="124">
        <f>SUM(E28)</f>
        <v>1107988</v>
      </c>
      <c r="F27" s="124">
        <f>SUM(F28)</f>
        <v>593585.73</v>
      </c>
      <c r="G27" s="124">
        <f t="shared" si="0"/>
        <v>53.573299530319815</v>
      </c>
      <c r="H27" s="284">
        <f t="shared" si="1"/>
        <v>9.68546288890355</v>
      </c>
      <c r="K27" s="1"/>
      <c r="L27" s="1"/>
      <c r="M27" s="1"/>
      <c r="N27" s="1"/>
      <c r="O27" s="1"/>
    </row>
    <row r="28" spans="1:15" ht="15" customHeight="1">
      <c r="A28" s="202">
        <v>415200</v>
      </c>
      <c r="B28" s="120" t="s">
        <v>158</v>
      </c>
      <c r="C28" s="125">
        <f>SUMIF(Org!$C$10:Org!$D$492,415200,Org!E$10:Org!E$493)</f>
        <v>1063800</v>
      </c>
      <c r="D28" s="125">
        <f>SUMIF(Org!$C$10:Org!$D$492,415200,Org!F$10:Org!F$493)</f>
        <v>44188</v>
      </c>
      <c r="E28" s="125">
        <f>SUMIF(Org!$C$10:Org!$D$492,415200,Org!G$10:Org!G$493)</f>
        <v>1107988</v>
      </c>
      <c r="F28" s="125">
        <f>SUMIF(Org!$C$10:Org!$D$492,415200,Org!H$10:Org!H$493)</f>
        <v>593585.73</v>
      </c>
      <c r="G28" s="315">
        <f t="shared" si="0"/>
        <v>53.573299530319815</v>
      </c>
      <c r="H28" s="316">
        <f t="shared" si="1"/>
        <v>9.68546288890355</v>
      </c>
      <c r="I28" s="1"/>
      <c r="K28" s="1"/>
      <c r="L28" s="1"/>
      <c r="M28" s="1"/>
      <c r="N28" s="1"/>
      <c r="O28" s="1"/>
    </row>
    <row r="29" spans="1:15" ht="26.25" customHeight="1">
      <c r="A29" s="200">
        <v>416000</v>
      </c>
      <c r="B29" s="116" t="s">
        <v>166</v>
      </c>
      <c r="C29" s="124">
        <f>SUM(C30:C31)</f>
        <v>2685000</v>
      </c>
      <c r="D29" s="124">
        <f>SUM(D30:D31)</f>
        <v>46864</v>
      </c>
      <c r="E29" s="124">
        <f>SUM(E30:E31)</f>
        <v>2731864</v>
      </c>
      <c r="F29" s="124">
        <f>SUM(F30:F31)</f>
        <v>1327973.9499999997</v>
      </c>
      <c r="G29" s="124">
        <f t="shared" si="0"/>
        <v>48.61054393630136</v>
      </c>
      <c r="H29" s="284">
        <f t="shared" si="1"/>
        <v>21.668382105741752</v>
      </c>
      <c r="I29" s="1"/>
      <c r="K29" s="1"/>
      <c r="L29" s="1"/>
      <c r="M29" s="1"/>
      <c r="N29" s="1"/>
      <c r="O29" s="1"/>
    </row>
    <row r="30" spans="1:11" ht="18" customHeight="1">
      <c r="A30" s="199">
        <v>416100</v>
      </c>
      <c r="B30" s="118" t="s">
        <v>159</v>
      </c>
      <c r="C30" s="125">
        <f>SUMIF(Org!$C$10:Org!$D$492,416100,Org!E$10:Org!E$493)</f>
        <v>2255000</v>
      </c>
      <c r="D30" s="125">
        <f>SUMIF(Org!$C$10:Org!$D$492,416100,Org!F$10:Org!F$493)</f>
        <v>46864</v>
      </c>
      <c r="E30" s="125">
        <f>SUMIF(Org!$C$10:Org!$D$492,416100,Org!G$10:Org!G$493)</f>
        <v>2301864</v>
      </c>
      <c r="F30" s="125">
        <f>SUMIF(Org!$C$10:Org!$D$492,416100,Org!H$10:Org!H$493)</f>
        <v>1106275.8099999998</v>
      </c>
      <c r="G30" s="315">
        <f t="shared" si="0"/>
        <v>48.059998766217284</v>
      </c>
      <c r="H30" s="316">
        <f t="shared" si="1"/>
        <v>18.050961741696035</v>
      </c>
      <c r="K30" s="1"/>
    </row>
    <row r="31" spans="1:8" ht="27" customHeight="1">
      <c r="A31" s="199">
        <v>416300</v>
      </c>
      <c r="B31" s="118" t="s">
        <v>160</v>
      </c>
      <c r="C31" s="125">
        <f>SUMIF(Org!$C$10:Org!$D$492,416300,Org!E$10:Org!E$493)</f>
        <v>430000</v>
      </c>
      <c r="D31" s="125">
        <f>SUMIF(Org!$C$10:Org!$D$492,416300,Org!F$10:Org!F$493)</f>
        <v>0</v>
      </c>
      <c r="E31" s="125">
        <f>SUMIF(Org!$C$10:Org!$D$492,416300,Org!G$10:Org!G$493)</f>
        <v>430000</v>
      </c>
      <c r="F31" s="125">
        <f>SUMIF(Org!$C$10:Org!$D$492,416300,Org!H$10:Org!H$493)</f>
        <v>221698.14</v>
      </c>
      <c r="G31" s="315">
        <f t="shared" si="0"/>
        <v>51.557706976744186</v>
      </c>
      <c r="H31" s="316">
        <f t="shared" si="1"/>
        <v>3.617420364045719</v>
      </c>
    </row>
    <row r="32" spans="1:8" ht="27" customHeight="1">
      <c r="A32" s="200">
        <v>418000</v>
      </c>
      <c r="B32" s="116" t="s">
        <v>518</v>
      </c>
      <c r="C32" s="124">
        <f>SUM(C33)</f>
        <v>4000</v>
      </c>
      <c r="D32" s="124">
        <f>SUM(D33)</f>
        <v>0</v>
      </c>
      <c r="E32" s="124">
        <f>SUM(E33)</f>
        <v>4000</v>
      </c>
      <c r="F32" s="124">
        <f>SUM(F33)</f>
        <v>1942</v>
      </c>
      <c r="G32" s="124">
        <f t="shared" si="0"/>
        <v>48.55</v>
      </c>
      <c r="H32" s="284">
        <f t="shared" si="1"/>
        <v>0.031687367097336876</v>
      </c>
    </row>
    <row r="33" spans="1:8" ht="18" customHeight="1">
      <c r="A33" s="199">
        <v>418100</v>
      </c>
      <c r="B33" s="308" t="s">
        <v>521</v>
      </c>
      <c r="C33" s="125">
        <f>SUMIF(Org!$C$10:Org!$D$492,418100,Org!E$10:Org!E$493)</f>
        <v>4000</v>
      </c>
      <c r="D33" s="125">
        <f>SUMIF(Org!$C$10:Org!$D$492,418100,Org!F$10:Org!F$493)</f>
        <v>0</v>
      </c>
      <c r="E33" s="125">
        <f>SUMIF(Org!$C$10:Org!$D$492,418100,Org!G$10:Org!G$493)</f>
        <v>4000</v>
      </c>
      <c r="F33" s="125">
        <f>SUMIF(Org!$C$10:Org!$D$492,418100,Org!H$10:Org!H$493)</f>
        <v>1942</v>
      </c>
      <c r="G33" s="315">
        <f t="shared" si="0"/>
        <v>48.55</v>
      </c>
      <c r="H33" s="316">
        <f t="shared" si="1"/>
        <v>0.031687367097336876</v>
      </c>
    </row>
    <row r="34" spans="1:8" ht="16.5" customHeight="1">
      <c r="A34" s="200">
        <v>419000</v>
      </c>
      <c r="B34" s="116" t="s">
        <v>395</v>
      </c>
      <c r="C34" s="124">
        <f>SUM(C35)</f>
        <v>154150</v>
      </c>
      <c r="D34" s="124">
        <f>SUM(D35)</f>
        <v>1310</v>
      </c>
      <c r="E34" s="124">
        <f>SUM(E35)</f>
        <v>155460</v>
      </c>
      <c r="F34" s="124">
        <f>SUM(F35)</f>
        <v>86750.84</v>
      </c>
      <c r="G34" s="124">
        <f t="shared" si="0"/>
        <v>55.80267592949954</v>
      </c>
      <c r="H34" s="284">
        <f t="shared" si="1"/>
        <v>1.4155024269219032</v>
      </c>
    </row>
    <row r="35" spans="1:9" ht="17.25" customHeight="1">
      <c r="A35" s="199">
        <v>419100</v>
      </c>
      <c r="B35" s="308" t="s">
        <v>395</v>
      </c>
      <c r="C35" s="125">
        <f>SUMIF(Org!$C$10:Org!$D$492,419100,Org!E$10:Org!E$493)</f>
        <v>154150</v>
      </c>
      <c r="D35" s="125">
        <f>SUMIF(Org!$C$10:Org!$D$492,419100,Org!F$10:Org!F$493)</f>
        <v>1310</v>
      </c>
      <c r="E35" s="125">
        <f>SUMIF(Org!$C$10:Org!$D$492,419100,Org!G$10:Org!G$493)</f>
        <v>155460</v>
      </c>
      <c r="F35" s="125">
        <f>SUMIF(Org!$C$10:Org!$D$492,419100,Org!H$10:Org!H$493)</f>
        <v>86750.84</v>
      </c>
      <c r="G35" s="315">
        <f t="shared" si="0"/>
        <v>55.80267592949954</v>
      </c>
      <c r="H35" s="316">
        <f t="shared" si="1"/>
        <v>1.4155024269219032</v>
      </c>
      <c r="I35" s="1"/>
    </row>
    <row r="36" spans="1:9" ht="17.25" customHeight="1">
      <c r="A36" s="258">
        <v>480000</v>
      </c>
      <c r="B36" s="142" t="s">
        <v>418</v>
      </c>
      <c r="C36" s="196">
        <f>SUM(C37:C40)</f>
        <v>181700</v>
      </c>
      <c r="D36" s="196">
        <f>SUM(D37:D40)</f>
        <v>6520</v>
      </c>
      <c r="E36" s="196">
        <f>SUM(E37:E40)</f>
        <v>188220</v>
      </c>
      <c r="F36" s="196">
        <f>SUM(F37:F40)</f>
        <v>95009.48000000001</v>
      </c>
      <c r="G36" s="196">
        <f t="shared" si="0"/>
        <v>50.477887578365745</v>
      </c>
      <c r="H36" s="419">
        <f t="shared" si="1"/>
        <v>1.550257605812094</v>
      </c>
      <c r="I36" s="1"/>
    </row>
    <row r="37" spans="1:8" ht="17.25" customHeight="1">
      <c r="A37" s="335">
        <v>487200</v>
      </c>
      <c r="B37" s="336" t="s">
        <v>454</v>
      </c>
      <c r="C37" s="125">
        <f>SUMIF(Org!$C$10:Org!$D$492,487200,Org!E$10:Org!E$493)</f>
        <v>7000</v>
      </c>
      <c r="D37" s="125">
        <f>SUMIF(Org!$C$10:Org!$D$492,487200,Org!F$10:Org!F$493)</f>
        <v>0</v>
      </c>
      <c r="E37" s="125">
        <f>SUMIF(Org!$C$10:Org!$D$492,487200,Org!G$10:Org!G$493)</f>
        <v>7000</v>
      </c>
      <c r="F37" s="125">
        <f>SUMIF(Org!$C$10:Org!$D$492,487200,Org!H$10:Org!H$493)</f>
        <v>3105.07</v>
      </c>
      <c r="G37" s="484">
        <f t="shared" si="0"/>
        <v>44.35814285714286</v>
      </c>
      <c r="H37" s="316">
        <f t="shared" si="1"/>
        <v>0.05066503241654369</v>
      </c>
    </row>
    <row r="38" spans="1:8" ht="17.25" customHeight="1">
      <c r="A38" s="335">
        <v>487300</v>
      </c>
      <c r="B38" s="336" t="s">
        <v>449</v>
      </c>
      <c r="C38" s="125">
        <f>SUMIF(Org!$C$10:Org!$D$492,487300,Org!E$10:Org!E$493)</f>
        <v>500</v>
      </c>
      <c r="D38" s="125">
        <f>SUMIF(Org!$C$10:Org!$D$492,487300,Org!F$10:Org!F$493)</f>
        <v>0</v>
      </c>
      <c r="E38" s="125">
        <f>SUMIF(Org!$C$10:Org!$D$492,487300,Org!G$10:Org!G$493)</f>
        <v>500</v>
      </c>
      <c r="F38" s="125">
        <f>SUMIF(Org!$C$10:Org!$D$492,487300,Org!H$10:Org!H$493)</f>
        <v>478.74</v>
      </c>
      <c r="G38" s="484">
        <f t="shared" si="0"/>
        <v>95.748</v>
      </c>
      <c r="H38" s="316">
        <f t="shared" si="1"/>
        <v>0.0078115397137894236</v>
      </c>
    </row>
    <row r="39" spans="1:8" ht="17.25" customHeight="1">
      <c r="A39" s="199">
        <v>487400</v>
      </c>
      <c r="B39" s="308" t="s">
        <v>417</v>
      </c>
      <c r="C39" s="125">
        <f>SUMIF(Org!$C$10:Org!$D$492,487400,Org!E$10:Org!E$493)</f>
        <v>153000</v>
      </c>
      <c r="D39" s="125">
        <f>SUMIF(Org!$C$10:Org!$D$492,487400,Org!F$10:Org!F$493)</f>
        <v>0</v>
      </c>
      <c r="E39" s="125">
        <f>SUMIF(Org!$C$10:Org!$D$492,487400,Org!G$10:Org!G$493)</f>
        <v>153000</v>
      </c>
      <c r="F39" s="125">
        <f>SUMIF(Org!$C$10:Org!$D$492,487400,Org!H$10:Org!H$493)</f>
        <v>65407.13</v>
      </c>
      <c r="G39" s="315">
        <f t="shared" si="0"/>
        <v>42.74975816993464</v>
      </c>
      <c r="H39" s="316">
        <f t="shared" si="1"/>
        <v>1.0672398244558372</v>
      </c>
    </row>
    <row r="40" spans="1:8" ht="17.25" customHeight="1">
      <c r="A40" s="199">
        <v>487900</v>
      </c>
      <c r="B40" s="308" t="s">
        <v>432</v>
      </c>
      <c r="C40" s="125">
        <f>SUMIF(Org!$C$10:Org!$D$492,487900,Org!E$10:Org!E$493)</f>
        <v>21200</v>
      </c>
      <c r="D40" s="125">
        <f>SUMIF(Org!$C$10:Org!$D$492,487900,Org!F$10:Org!F$493)</f>
        <v>6520</v>
      </c>
      <c r="E40" s="125">
        <f>SUMIF(Org!$C$10:Org!$D$492,487900,Org!G$10:Org!G$493)</f>
        <v>27720</v>
      </c>
      <c r="F40" s="125">
        <f>SUMIF(Org!$C$10:Org!$D$492,487900,Org!H$10:Org!H$493)</f>
        <v>26018.54</v>
      </c>
      <c r="G40" s="315">
        <f t="shared" si="0"/>
        <v>93.86197691197692</v>
      </c>
      <c r="H40" s="316">
        <f t="shared" si="1"/>
        <v>0.42454120922592353</v>
      </c>
    </row>
    <row r="41" spans="1:9" ht="21.75" customHeight="1">
      <c r="A41" s="258" t="s">
        <v>219</v>
      </c>
      <c r="B41" s="309" t="s">
        <v>397</v>
      </c>
      <c r="C41" s="196">
        <f>Org!E493</f>
        <v>160000</v>
      </c>
      <c r="D41" s="196">
        <f>Org!F493</f>
        <v>-99761.5</v>
      </c>
      <c r="E41" s="196">
        <f>Org!G493</f>
        <v>60238.5</v>
      </c>
      <c r="F41" s="196">
        <f>Org!H493</f>
        <v>0</v>
      </c>
      <c r="G41" s="196">
        <f t="shared" si="0"/>
        <v>0</v>
      </c>
      <c r="H41" s="419">
        <f t="shared" si="1"/>
        <v>0</v>
      </c>
      <c r="I41" s="1"/>
    </row>
    <row r="42" spans="1:9" ht="17.25" customHeight="1">
      <c r="A42" s="203">
        <v>510000</v>
      </c>
      <c r="B42" s="259" t="s">
        <v>427</v>
      </c>
      <c r="C42" s="168">
        <f>C43+C48+C50</f>
        <v>2872453.87</v>
      </c>
      <c r="D42" s="168">
        <f>D43+D48+D50</f>
        <v>-56334.46</v>
      </c>
      <c r="E42" s="168">
        <f>E43+E48+E50</f>
        <v>2816119.41</v>
      </c>
      <c r="F42" s="168">
        <f>F43+F48+F50</f>
        <v>549666.69</v>
      </c>
      <c r="G42" s="168">
        <f t="shared" si="0"/>
        <v>19.518586038935045</v>
      </c>
      <c r="H42" s="167">
        <f t="shared" si="1"/>
        <v>8.968841497017543</v>
      </c>
      <c r="I42" s="1"/>
    </row>
    <row r="43" spans="1:8" ht="15.75" customHeight="1">
      <c r="A43" s="200">
        <v>511000</v>
      </c>
      <c r="B43" s="122" t="s">
        <v>161</v>
      </c>
      <c r="C43" s="124">
        <f>SUM(C44:C47)</f>
        <v>2748453.87</v>
      </c>
      <c r="D43" s="124">
        <f>SUM(D44:D47)</f>
        <v>-57869.5</v>
      </c>
      <c r="E43" s="124">
        <f>SUM(E44:E47)</f>
        <v>2690584.37</v>
      </c>
      <c r="F43" s="124">
        <f>SUM(F44:F47)</f>
        <v>543174.61</v>
      </c>
      <c r="G43" s="124">
        <f t="shared" si="0"/>
        <v>20.18797908946449</v>
      </c>
      <c r="H43" s="284">
        <f t="shared" si="1"/>
        <v>8.862911053049842</v>
      </c>
    </row>
    <row r="44" spans="1:9" ht="12.75" customHeight="1">
      <c r="A44" s="202">
        <v>511100</v>
      </c>
      <c r="B44" s="310" t="s">
        <v>162</v>
      </c>
      <c r="C44" s="127">
        <f>SUMIF(Org!$C$10:Org!$D$492,511100,Org!E$10:Org!E$492)</f>
        <v>534381.85</v>
      </c>
      <c r="D44" s="127">
        <f>SUMIF(Org!$C$10:Org!$D$492,511100,Org!F$10:Org!F$492)</f>
        <v>0</v>
      </c>
      <c r="E44" s="127">
        <f>SUMIF(Org!$C$10:Org!$D$492,511100,Org!G$10:Org!G$492)</f>
        <v>534381.85</v>
      </c>
      <c r="F44" s="127">
        <f>SUMIF(Org!$C$10:Org!$D$492,511100,Org!H$10:Org!H$492)</f>
        <v>114797.36</v>
      </c>
      <c r="G44" s="315">
        <f t="shared" si="0"/>
        <v>21.48227152550185</v>
      </c>
      <c r="H44" s="316">
        <f t="shared" si="1"/>
        <v>1.873133927973809</v>
      </c>
      <c r="I44" s="1"/>
    </row>
    <row r="45" spans="1:8" ht="27" customHeight="1">
      <c r="A45" s="199">
        <v>511200</v>
      </c>
      <c r="B45" s="123" t="s">
        <v>163</v>
      </c>
      <c r="C45" s="127">
        <f>SUMIF(Org!$C$10:Org!$D$492,511200,Org!E$10:Org!E$505)</f>
        <v>2093772.02</v>
      </c>
      <c r="D45" s="127">
        <f>SUMIF(Org!$C$10:Org!$D$492,511200,Org!F$10:Org!F$505)</f>
        <v>-57440</v>
      </c>
      <c r="E45" s="127">
        <f>SUMIF(Org!$C$10:Org!$D$492,511200,Org!G$10:Org!G$505)</f>
        <v>2036332.02</v>
      </c>
      <c r="F45" s="127">
        <f>SUMIF(Org!$C$10:Org!$D$492,511200,Org!H$10:Org!H$505)</f>
        <v>397620.29</v>
      </c>
      <c r="G45" s="315">
        <f t="shared" si="0"/>
        <v>19.526299547163237</v>
      </c>
      <c r="H45" s="316">
        <f t="shared" si="1"/>
        <v>6.487919719144979</v>
      </c>
    </row>
    <row r="46" spans="1:8" ht="12.75" customHeight="1">
      <c r="A46" s="199">
        <v>511300</v>
      </c>
      <c r="B46" s="311" t="s">
        <v>164</v>
      </c>
      <c r="C46" s="127">
        <f>SUMIF(Org!$C$10:Org!$D$492,511300,Org!E$10:Org!E$492)</f>
        <v>110300</v>
      </c>
      <c r="D46" s="127">
        <f>SUMIF(Org!$C$10:Org!$D$492,511300,Org!F$10:Org!F$492)</f>
        <v>-429.5</v>
      </c>
      <c r="E46" s="127">
        <f>SUMIF(Org!$C$10:Org!$D$492,511300,Org!G$10:Org!G$492)</f>
        <v>109870.5</v>
      </c>
      <c r="F46" s="127">
        <f>SUMIF(Org!$C$10:Org!$D$492,511300,Org!H$10:Org!H$492)</f>
        <v>30756.96</v>
      </c>
      <c r="G46" s="315">
        <f t="shared" si="0"/>
        <v>27.99382909880268</v>
      </c>
      <c r="H46" s="316">
        <f t="shared" si="1"/>
        <v>0.5018574059310538</v>
      </c>
    </row>
    <row r="47" spans="1:8" ht="12.75" customHeight="1">
      <c r="A47" s="199">
        <v>511400</v>
      </c>
      <c r="B47" s="311" t="s">
        <v>264</v>
      </c>
      <c r="C47" s="127">
        <f>SUMIF(Org!$C$10:Org!$D$492,511400,Org!E$10:Org!E$492)</f>
        <v>10000</v>
      </c>
      <c r="D47" s="127">
        <f>SUMIF(Org!$C$10:Org!$D$492,511400,Org!F$10:Org!F$492)</f>
        <v>0</v>
      </c>
      <c r="E47" s="127">
        <f>SUMIF(Org!$C$10:Org!$D$492,511400,Org!G$10:Org!G$492)</f>
        <v>10000</v>
      </c>
      <c r="F47" s="127">
        <f>SUMIF(Org!$C$10:Org!$D$492,511400,Org!H$10:Org!H$492)</f>
        <v>0</v>
      </c>
      <c r="G47" s="315">
        <f t="shared" si="0"/>
        <v>0</v>
      </c>
      <c r="H47" s="316">
        <f t="shared" si="1"/>
        <v>0</v>
      </c>
    </row>
    <row r="48" spans="1:9" ht="15.75" customHeight="1">
      <c r="A48" s="312">
        <v>513000</v>
      </c>
      <c r="B48" s="122" t="s">
        <v>188</v>
      </c>
      <c r="C48" s="124">
        <f>SUM(C49)</f>
        <v>110000</v>
      </c>
      <c r="D48" s="124">
        <f>SUM(D49)</f>
        <v>0</v>
      </c>
      <c r="E48" s="124">
        <f>SUM(E49)</f>
        <v>110000</v>
      </c>
      <c r="F48" s="124">
        <f>SUM(F49)</f>
        <v>1120</v>
      </c>
      <c r="G48" s="124">
        <f t="shared" si="0"/>
        <v>1.0181818181818183</v>
      </c>
      <c r="H48" s="284">
        <f t="shared" si="1"/>
        <v>0.018274897605055254</v>
      </c>
      <c r="I48" s="1"/>
    </row>
    <row r="49" spans="1:8" ht="12.75" customHeight="1">
      <c r="A49" s="199">
        <v>513100</v>
      </c>
      <c r="B49" s="311" t="s">
        <v>189</v>
      </c>
      <c r="C49" s="127">
        <f>SUMIF(Org!$C$10:Org!$D$492,513100,Org!E$10:Org!E$492)</f>
        <v>110000</v>
      </c>
      <c r="D49" s="127">
        <f>SUMIF(Org!$C$10:Org!$D$492,513100,Org!F$10:Org!F$492)</f>
        <v>0</v>
      </c>
      <c r="E49" s="127">
        <f>SUMIF(Org!$C$10:Org!$D$492,513100,Org!G$10:Org!G$492)</f>
        <v>110000</v>
      </c>
      <c r="F49" s="127">
        <f>SUMIF(Org!$C$10:Org!$D$492,513100,Org!H$10:Org!H$492)</f>
        <v>1120</v>
      </c>
      <c r="G49" s="315">
        <f t="shared" si="0"/>
        <v>1.0181818181818183</v>
      </c>
      <c r="H49" s="316">
        <f t="shared" si="1"/>
        <v>0.018274897605055254</v>
      </c>
    </row>
    <row r="50" spans="1:9" ht="28.5" customHeight="1">
      <c r="A50" s="312">
        <v>516000</v>
      </c>
      <c r="B50" s="313" t="s">
        <v>341</v>
      </c>
      <c r="C50" s="124">
        <f>SUM(C51)</f>
        <v>14000</v>
      </c>
      <c r="D50" s="124">
        <f>SUM(D51)</f>
        <v>1535.04</v>
      </c>
      <c r="E50" s="124">
        <f>SUM(E51)</f>
        <v>15535.04</v>
      </c>
      <c r="F50" s="124">
        <f>SUM(F51)</f>
        <v>5372.08</v>
      </c>
      <c r="G50" s="124">
        <f t="shared" si="0"/>
        <v>34.58040661626877</v>
      </c>
      <c r="H50" s="284">
        <f t="shared" si="1"/>
        <v>0.08765554636264754</v>
      </c>
      <c r="I50" s="1"/>
    </row>
    <row r="51" spans="1:8" ht="24.75" customHeight="1">
      <c r="A51" s="199">
        <v>516100</v>
      </c>
      <c r="B51" s="123" t="s">
        <v>341</v>
      </c>
      <c r="C51" s="127">
        <f>SUMIF(Org!$C$10:Org!$D$492,516100,Org!E$10:Org!E$492)</f>
        <v>14000</v>
      </c>
      <c r="D51" s="127">
        <f>SUMIF(Org!$C$10:Org!$D$492,516100,Org!F$10:Org!F$492)</f>
        <v>1535.04</v>
      </c>
      <c r="E51" s="127">
        <f>SUMIF(Org!$C$10:Org!$D$492,516100,Org!G$10:Org!G$492)</f>
        <v>15535.04</v>
      </c>
      <c r="F51" s="127">
        <f>SUMIF(Org!$C$10:Org!$D$492,516100,Org!H$10:Org!H$492)</f>
        <v>5372.08</v>
      </c>
      <c r="G51" s="315">
        <f t="shared" si="0"/>
        <v>34.58040661626877</v>
      </c>
      <c r="H51" s="316">
        <f t="shared" si="1"/>
        <v>0.08765554636264754</v>
      </c>
    </row>
    <row r="52" spans="1:9" ht="31.5" customHeight="1" thickBot="1">
      <c r="A52" s="219"/>
      <c r="B52" s="184" t="s">
        <v>318</v>
      </c>
      <c r="C52" s="314">
        <f>C4+C42</f>
        <v>14271653.870000001</v>
      </c>
      <c r="D52" s="314">
        <f>D4+D42</f>
        <v>0</v>
      </c>
      <c r="E52" s="314">
        <f>E4+E42</f>
        <v>14271653.870000001</v>
      </c>
      <c r="F52" s="314">
        <f>F4+F42</f>
        <v>6128625.309999999</v>
      </c>
      <c r="G52" s="314">
        <f t="shared" si="0"/>
        <v>42.94264256844676</v>
      </c>
      <c r="H52" s="169">
        <f t="shared" si="1"/>
        <v>100</v>
      </c>
      <c r="I52" s="1"/>
    </row>
    <row r="53" spans="1:9" ht="31.5" customHeight="1" thickTop="1">
      <c r="A53" s="51"/>
      <c r="B53" s="421"/>
      <c r="C53" s="348"/>
      <c r="D53" s="348"/>
      <c r="E53" s="348"/>
      <c r="F53" s="348"/>
      <c r="G53" s="348"/>
      <c r="H53" s="422"/>
      <c r="I53" s="1"/>
    </row>
    <row r="54" spans="1:8" ht="15" customHeight="1">
      <c r="A54" s="16"/>
      <c r="B54" s="509"/>
      <c r="C54" s="17"/>
      <c r="D54" s="17"/>
      <c r="E54" s="17"/>
      <c r="F54" s="17"/>
      <c r="G54" s="17"/>
      <c r="H54" s="16"/>
    </row>
    <row r="55" spans="1:9" ht="12.75" customHeight="1">
      <c r="A55" s="16"/>
      <c r="B55" s="509"/>
      <c r="C55" s="17"/>
      <c r="D55" s="17"/>
      <c r="E55" s="17"/>
      <c r="F55" s="17"/>
      <c r="G55" s="17"/>
      <c r="H55" s="16"/>
      <c r="I55" s="1"/>
    </row>
    <row r="56" spans="2:9" ht="12.75" customHeight="1">
      <c r="B56" s="510"/>
      <c r="C56" s="62"/>
      <c r="D56" s="1"/>
      <c r="E56" s="1"/>
      <c r="F56" s="62"/>
      <c r="G56" s="1"/>
      <c r="I56" s="1"/>
    </row>
    <row r="57" spans="2:7" ht="12.75" customHeight="1">
      <c r="B57" s="205"/>
      <c r="C57" s="245"/>
      <c r="D57" s="245"/>
      <c r="E57" s="245"/>
      <c r="F57" s="245"/>
      <c r="G57" s="245"/>
    </row>
    <row r="58" spans="3:7" ht="12.75" customHeight="1">
      <c r="C58" s="245"/>
      <c r="D58" s="245"/>
      <c r="E58" s="245"/>
      <c r="F58" s="245"/>
      <c r="G58" s="245"/>
    </row>
    <row r="60" spans="3:7" ht="12.75" customHeight="1">
      <c r="C60" s="1"/>
      <c r="D60" s="1"/>
      <c r="E60" s="1"/>
      <c r="F60" s="1"/>
      <c r="G60" s="1"/>
    </row>
    <row r="61" spans="3:6" ht="12.75" customHeight="1">
      <c r="C61" s="1"/>
      <c r="D61" s="1"/>
      <c r="E61" s="1"/>
      <c r="F61" s="1"/>
    </row>
  </sheetData>
  <sheetProtection/>
  <mergeCells count="1">
    <mergeCell ref="A1:H1"/>
  </mergeCells>
  <printOptions horizontalCentered="1"/>
  <pageMargins left="0.15748031496062992" right="0.15748031496062992" top="0.5118110236220472" bottom="0.5118110236220472" header="0.3937007874015748" footer="0.1968503937007874"/>
  <pageSetup horizontalDpi="600" verticalDpi="600" orientation="landscape" paperSize="9" scale="90" r:id="rId1"/>
  <headerFooter alignWithMargins="0">
    <oddFooter>&amp;R&amp;P</oddFooter>
  </headerFooter>
  <rowBreaks count="2" manualBreakCount="2">
    <brk id="30" max="13" man="1"/>
    <brk id="5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="90" zoomScaleNormal="90" zoomScalePageLayoutView="0" workbookViewId="0" topLeftCell="A31">
      <selection activeCell="D30" sqref="D30"/>
    </sheetView>
  </sheetViews>
  <sheetFormatPr defaultColWidth="9.140625" defaultRowHeight="12.75"/>
  <cols>
    <col min="1" max="1" width="12.8515625" style="0" customWidth="1"/>
    <col min="2" max="2" width="75.57421875" style="0" customWidth="1"/>
    <col min="3" max="3" width="21.8515625" style="0" customWidth="1"/>
    <col min="4" max="4" width="21.140625" style="0" customWidth="1"/>
    <col min="5" max="5" width="14.00390625" style="0" customWidth="1"/>
    <col min="6" max="6" width="12.421875" style="0" customWidth="1"/>
  </cols>
  <sheetData>
    <row r="1" spans="1:4" ht="39.75" customHeight="1" thickBot="1">
      <c r="A1" s="523" t="s">
        <v>553</v>
      </c>
      <c r="B1" s="523"/>
      <c r="C1" s="523"/>
      <c r="D1" s="523"/>
    </row>
    <row r="2" spans="1:4" ht="18.75" customHeight="1" thickTop="1">
      <c r="A2" s="543" t="s">
        <v>63</v>
      </c>
      <c r="B2" s="532" t="s">
        <v>233</v>
      </c>
      <c r="C2" s="532" t="s">
        <v>484</v>
      </c>
      <c r="D2" s="530" t="s">
        <v>554</v>
      </c>
    </row>
    <row r="3" spans="1:4" ht="30" customHeight="1">
      <c r="A3" s="544"/>
      <c r="B3" s="533"/>
      <c r="C3" s="533"/>
      <c r="D3" s="531"/>
    </row>
    <row r="4" spans="1:4" s="5" customFormat="1" ht="12.75" customHeight="1">
      <c r="A4" s="213">
        <v>1</v>
      </c>
      <c r="B4" s="110">
        <v>2</v>
      </c>
      <c r="C4" s="499">
        <v>3</v>
      </c>
      <c r="D4" s="500">
        <v>4</v>
      </c>
    </row>
    <row r="5" spans="1:4" ht="12.75">
      <c r="A5" s="165"/>
      <c r="B5" s="182"/>
      <c r="C5" s="487"/>
      <c r="D5" s="424"/>
    </row>
    <row r="6" spans="1:4" ht="21" customHeight="1">
      <c r="A6" s="425"/>
      <c r="B6" s="275" t="s">
        <v>314</v>
      </c>
      <c r="C6" s="488">
        <f>C7-C9</f>
        <v>0</v>
      </c>
      <c r="D6" s="426">
        <f>D7-D9</f>
        <v>0</v>
      </c>
    </row>
    <row r="7" spans="1:4" ht="16.5" customHeight="1">
      <c r="A7" s="427">
        <v>910000</v>
      </c>
      <c r="B7" s="276" t="s">
        <v>308</v>
      </c>
      <c r="C7" s="489">
        <f>SUM(C8)</f>
        <v>0</v>
      </c>
      <c r="D7" s="428">
        <f>SUM(D8)</f>
        <v>0</v>
      </c>
    </row>
    <row r="8" spans="1:4" ht="18" customHeight="1">
      <c r="A8" s="429">
        <v>911000</v>
      </c>
      <c r="B8" s="283" t="s">
        <v>309</v>
      </c>
      <c r="C8" s="490">
        <v>0</v>
      </c>
      <c r="D8" s="430">
        <v>0</v>
      </c>
    </row>
    <row r="9" spans="1:4" ht="18" customHeight="1">
      <c r="A9" s="427">
        <v>610000</v>
      </c>
      <c r="B9" s="276" t="s">
        <v>310</v>
      </c>
      <c r="C9" s="489">
        <f>SUM(C10)</f>
        <v>0</v>
      </c>
      <c r="D9" s="428">
        <f>SUM(D10)</f>
        <v>0</v>
      </c>
    </row>
    <row r="10" spans="1:4" ht="17.25" customHeight="1">
      <c r="A10" s="429">
        <v>611000</v>
      </c>
      <c r="B10" s="283" t="s">
        <v>311</v>
      </c>
      <c r="C10" s="490">
        <v>0</v>
      </c>
      <c r="D10" s="430">
        <v>0</v>
      </c>
    </row>
    <row r="11" spans="1:4" ht="15.75" customHeight="1">
      <c r="A11" s="429"/>
      <c r="B11" s="275" t="s">
        <v>338</v>
      </c>
      <c r="C11" s="488">
        <f>C12-C14</f>
        <v>118272.02000000048</v>
      </c>
      <c r="D11" s="426">
        <f>D12-D14</f>
        <v>-522152.5599999996</v>
      </c>
    </row>
    <row r="12" spans="1:4" ht="18" customHeight="1">
      <c r="A12" s="427">
        <v>920000</v>
      </c>
      <c r="B12" s="276" t="s">
        <v>315</v>
      </c>
      <c r="C12" s="489">
        <f>C13</f>
        <v>7000000</v>
      </c>
      <c r="D12" s="428">
        <f>D13</f>
        <v>5607211.16</v>
      </c>
    </row>
    <row r="13" spans="1:4" ht="17.25" customHeight="1">
      <c r="A13" s="429">
        <v>921200</v>
      </c>
      <c r="B13" s="278" t="s">
        <v>359</v>
      </c>
      <c r="C13" s="491">
        <v>7000000</v>
      </c>
      <c r="D13" s="431">
        <v>5607211.16</v>
      </c>
    </row>
    <row r="14" spans="1:5" ht="17.25" customHeight="1">
      <c r="A14" s="427">
        <v>620000</v>
      </c>
      <c r="B14" s="276" t="s">
        <v>313</v>
      </c>
      <c r="C14" s="489">
        <f>C15+C18</f>
        <v>6881727.9799999995</v>
      </c>
      <c r="D14" s="428">
        <f>D15+D18</f>
        <v>6129363.72</v>
      </c>
      <c r="E14" s="1"/>
    </row>
    <row r="15" spans="1:5" ht="17.25" customHeight="1">
      <c r="A15" s="427">
        <v>621000</v>
      </c>
      <c r="B15" s="423" t="s">
        <v>165</v>
      </c>
      <c r="C15" s="492">
        <f>SUM(C16:C17)</f>
        <v>6793227.9799999995</v>
      </c>
      <c r="D15" s="434">
        <f>SUM(D16:D17)</f>
        <v>6129363.72</v>
      </c>
      <c r="E15" s="1"/>
    </row>
    <row r="16" spans="1:4" ht="16.5" customHeight="1">
      <c r="A16" s="432">
        <v>621300</v>
      </c>
      <c r="B16" s="123" t="s">
        <v>173</v>
      </c>
      <c r="C16" s="493">
        <f>SUMIF(Org!$C$10:$D$486,621300,Org!E$10:E$486)</f>
        <v>6768227.9799999995</v>
      </c>
      <c r="D16" s="433">
        <f>SUMIF(Org!$C$10:$D$486,621300,Org!H$10:H$486)</f>
        <v>6129363.72</v>
      </c>
    </row>
    <row r="17" spans="1:4" ht="15.75" customHeight="1">
      <c r="A17" s="432">
        <v>621900</v>
      </c>
      <c r="B17" s="123" t="s">
        <v>361</v>
      </c>
      <c r="C17" s="493">
        <f>SUMIF(Org!$C$10:$D$486,621900,Org!E$10:E$486)</f>
        <v>25000</v>
      </c>
      <c r="D17" s="433">
        <f>SUMIF(Org!$C$10:$D$486,621900,Org!H$10:H$486)</f>
        <v>0</v>
      </c>
    </row>
    <row r="18" spans="1:4" ht="17.25" customHeight="1">
      <c r="A18" s="435">
        <v>628000</v>
      </c>
      <c r="B18" s="473" t="s">
        <v>519</v>
      </c>
      <c r="C18" s="494">
        <f>SUM(C19)</f>
        <v>88500</v>
      </c>
      <c r="D18" s="483">
        <f>SUM(D19)</f>
        <v>0</v>
      </c>
    </row>
    <row r="19" spans="1:4" ht="15.75" customHeight="1">
      <c r="A19" s="432">
        <v>628100</v>
      </c>
      <c r="B19" s="123" t="s">
        <v>522</v>
      </c>
      <c r="C19" s="493">
        <f>SUMIF(Org!$C$10:$D$486,628100,Org!E$10:E$486)</f>
        <v>88500</v>
      </c>
      <c r="D19" s="433">
        <f>SUMIF(Org!$C$10:$D$486,628100,Org!I$10:I$486)</f>
        <v>0</v>
      </c>
    </row>
    <row r="20" spans="1:4" ht="20.25" customHeight="1">
      <c r="A20" s="432"/>
      <c r="B20" s="275" t="s">
        <v>420</v>
      </c>
      <c r="C20" s="488">
        <f>C21-C27</f>
        <v>-3000</v>
      </c>
      <c r="D20" s="426">
        <f>D21-D27</f>
        <v>10641.630000000001</v>
      </c>
    </row>
    <row r="21" spans="1:4" ht="15.75" customHeight="1">
      <c r="A21" s="427">
        <v>930000</v>
      </c>
      <c r="B21" s="276" t="s">
        <v>421</v>
      </c>
      <c r="C21" s="489">
        <f>C22+C24</f>
        <v>78000</v>
      </c>
      <c r="D21" s="428">
        <f>D22+D24</f>
        <v>39967.46</v>
      </c>
    </row>
    <row r="22" spans="1:4" ht="15.75" customHeight="1">
      <c r="A22" s="427">
        <v>931000</v>
      </c>
      <c r="B22" s="423" t="s">
        <v>402</v>
      </c>
      <c r="C22" s="492">
        <f>SUM(C23)</f>
        <v>0</v>
      </c>
      <c r="D22" s="434">
        <f>SUM(D23)</f>
        <v>4925</v>
      </c>
    </row>
    <row r="23" spans="1:4" ht="18" customHeight="1">
      <c r="A23" s="201">
        <v>931300</v>
      </c>
      <c r="B23" s="336" t="s">
        <v>568</v>
      </c>
      <c r="C23" s="286">
        <v>0</v>
      </c>
      <c r="D23" s="287">
        <v>4925</v>
      </c>
    </row>
    <row r="24" spans="1:4" ht="19.5" customHeight="1">
      <c r="A24" s="435">
        <v>938000</v>
      </c>
      <c r="B24" s="339" t="s">
        <v>465</v>
      </c>
      <c r="C24" s="495">
        <f>SUM(C25:C26)</f>
        <v>78000</v>
      </c>
      <c r="D24" s="436">
        <f>SUM(D25:D26)</f>
        <v>35042.46</v>
      </c>
    </row>
    <row r="25" spans="1:5" ht="25.5">
      <c r="A25" s="432">
        <v>938100</v>
      </c>
      <c r="B25" s="349" t="s">
        <v>466</v>
      </c>
      <c r="C25" s="491">
        <v>77000</v>
      </c>
      <c r="D25" s="431">
        <v>35042.46</v>
      </c>
      <c r="E25" s="1"/>
    </row>
    <row r="26" spans="1:5" ht="27" customHeight="1">
      <c r="A26" s="432">
        <v>938100</v>
      </c>
      <c r="B26" s="349" t="s">
        <v>470</v>
      </c>
      <c r="C26" s="491">
        <f>Org!E488</f>
        <v>1000</v>
      </c>
      <c r="D26" s="431">
        <v>0</v>
      </c>
      <c r="E26" s="1"/>
    </row>
    <row r="27" spans="1:4" ht="15.75" customHeight="1">
      <c r="A27" s="427">
        <v>630000</v>
      </c>
      <c r="B27" s="276" t="s">
        <v>422</v>
      </c>
      <c r="C27" s="489">
        <f>C28+C30</f>
        <v>81000</v>
      </c>
      <c r="D27" s="428">
        <f>D28+D30</f>
        <v>29325.829999999998</v>
      </c>
    </row>
    <row r="28" spans="1:6" ht="15.75" customHeight="1">
      <c r="A28" s="427">
        <v>631000</v>
      </c>
      <c r="B28" s="339" t="s">
        <v>404</v>
      </c>
      <c r="C28" s="495">
        <f>SUM(C29:C29)</f>
        <v>3000</v>
      </c>
      <c r="D28" s="436">
        <f>SUM(D29:D29)</f>
        <v>569.42</v>
      </c>
      <c r="E28" s="1"/>
      <c r="F28" s="1"/>
    </row>
    <row r="29" spans="1:4" ht="28.5" customHeight="1">
      <c r="A29" s="432">
        <v>631900</v>
      </c>
      <c r="B29" s="349" t="s">
        <v>469</v>
      </c>
      <c r="C29" s="496">
        <f>Org!E486</f>
        <v>3000</v>
      </c>
      <c r="D29" s="437">
        <f>Org!H486</f>
        <v>569.42</v>
      </c>
    </row>
    <row r="30" spans="1:4" ht="19.5" customHeight="1">
      <c r="A30" s="435">
        <v>638000</v>
      </c>
      <c r="B30" s="338" t="s">
        <v>455</v>
      </c>
      <c r="C30" s="497">
        <f>SUM(C31:C32)</f>
        <v>78000</v>
      </c>
      <c r="D30" s="438">
        <f>SUM(D31:D32)</f>
        <v>28756.41</v>
      </c>
    </row>
    <row r="31" spans="1:5" ht="25.5">
      <c r="A31" s="432">
        <v>638100</v>
      </c>
      <c r="B31" s="349" t="s">
        <v>412</v>
      </c>
      <c r="C31" s="496">
        <f>SUMIF(Org!$C$10:$D$486,638100,Org!E$10:E$486)</f>
        <v>77000</v>
      </c>
      <c r="D31" s="437">
        <f>SUMIF(Org!$C$10:$D$486,638100,Org!H$10:H$486)</f>
        <v>27988.41</v>
      </c>
      <c r="E31" s="348"/>
    </row>
    <row r="32" spans="1:4" ht="25.5">
      <c r="A32" s="432">
        <v>638100</v>
      </c>
      <c r="B32" s="308" t="s">
        <v>467</v>
      </c>
      <c r="C32" s="491">
        <f>Org!E488</f>
        <v>1000</v>
      </c>
      <c r="D32" s="431">
        <f>Org!H488</f>
        <v>768</v>
      </c>
    </row>
    <row r="33" spans="1:6" ht="24" customHeight="1">
      <c r="A33" s="427"/>
      <c r="B33" s="275" t="s">
        <v>424</v>
      </c>
      <c r="C33" s="488">
        <f>SUM(C34:C37)</f>
        <v>499381.85</v>
      </c>
      <c r="D33" s="426">
        <f>SUM(D34:D37)</f>
        <v>194509.84000000003</v>
      </c>
      <c r="F33" s="1"/>
    </row>
    <row r="34" spans="1:4" ht="25.5">
      <c r="A34" s="439" t="s">
        <v>358</v>
      </c>
      <c r="B34" s="279" t="s">
        <v>514</v>
      </c>
      <c r="C34" s="493">
        <v>59381.85</v>
      </c>
      <c r="D34" s="433">
        <v>0</v>
      </c>
    </row>
    <row r="35" spans="1:4" ht="38.25">
      <c r="A35" s="440" t="s">
        <v>358</v>
      </c>
      <c r="B35" s="123" t="s">
        <v>494</v>
      </c>
      <c r="C35" s="493">
        <v>190000</v>
      </c>
      <c r="D35" s="433">
        <v>175305.42</v>
      </c>
    </row>
    <row r="36" spans="1:4" ht="12.75">
      <c r="A36" s="440" t="s">
        <v>358</v>
      </c>
      <c r="B36" s="123" t="s">
        <v>378</v>
      </c>
      <c r="C36" s="493">
        <v>180000</v>
      </c>
      <c r="D36" s="433">
        <v>19204.42</v>
      </c>
    </row>
    <row r="37" spans="1:4" ht="29.25" customHeight="1">
      <c r="A37" s="440" t="s">
        <v>358</v>
      </c>
      <c r="B37" s="123" t="s">
        <v>379</v>
      </c>
      <c r="C37" s="493">
        <v>70000</v>
      </c>
      <c r="D37" s="433">
        <v>0</v>
      </c>
    </row>
    <row r="38" spans="1:5" s="5" customFormat="1" ht="21" customHeight="1" thickBot="1">
      <c r="A38" s="441"/>
      <c r="B38" s="442" t="s">
        <v>423</v>
      </c>
      <c r="C38" s="498">
        <f>C6+C11+C20+C33</f>
        <v>614653.8700000005</v>
      </c>
      <c r="D38" s="443">
        <f>D6+D11+D20+D33</f>
        <v>-317001.08999999956</v>
      </c>
      <c r="E38" s="347"/>
    </row>
    <row r="39" spans="1:2" ht="18" customHeight="1" thickTop="1">
      <c r="A39" s="145"/>
      <c r="B39" s="143"/>
    </row>
    <row r="40" spans="1:3" ht="18" customHeight="1">
      <c r="A40" s="3"/>
      <c r="B40" s="143"/>
      <c r="C40" s="1"/>
    </row>
    <row r="41" spans="1:3" ht="14.25" customHeight="1">
      <c r="A41" s="3"/>
      <c r="B41" s="143"/>
      <c r="C41" s="1"/>
    </row>
    <row r="42" spans="1:3" ht="16.5" customHeight="1">
      <c r="A42" s="3"/>
      <c r="C42" s="1"/>
    </row>
    <row r="43" ht="16.5" customHeight="1">
      <c r="A43" s="4"/>
    </row>
    <row r="44" spans="1:2" ht="15.75" customHeight="1">
      <c r="A44" s="146"/>
      <c r="B44" s="146"/>
    </row>
    <row r="45" spans="1:2" ht="12.75">
      <c r="A45" s="146"/>
      <c r="B45" s="146"/>
    </row>
    <row r="46" spans="1:2" ht="17.25" customHeight="1">
      <c r="A46" s="146"/>
      <c r="B46" s="146"/>
    </row>
    <row r="47" spans="1:2" ht="12.75">
      <c r="A47" s="146"/>
      <c r="B47" s="146"/>
    </row>
    <row r="48" spans="1:2" ht="12.75">
      <c r="A48" s="146"/>
      <c r="B48" s="146"/>
    </row>
    <row r="49" spans="1:2" ht="12.75">
      <c r="A49" s="146"/>
      <c r="B49" s="146"/>
    </row>
    <row r="50" spans="1:2" ht="23.25" customHeight="1">
      <c r="A50" s="146"/>
      <c r="B50" s="146"/>
    </row>
    <row r="51" spans="1:2" ht="16.5" customHeight="1">
      <c r="A51" s="146"/>
      <c r="B51" s="146"/>
    </row>
    <row r="52" spans="1:2" ht="12.75">
      <c r="A52" s="146"/>
      <c r="B52" s="146"/>
    </row>
    <row r="53" spans="1:2" ht="12.75">
      <c r="A53" s="146"/>
      <c r="B53" s="146"/>
    </row>
    <row r="54" spans="1:2" ht="15" customHeight="1">
      <c r="A54" s="146"/>
      <c r="B54" s="146"/>
    </row>
    <row r="55" spans="1:2" ht="12.75">
      <c r="A55" s="146"/>
      <c r="B55" s="146"/>
    </row>
    <row r="56" spans="1:2" ht="26.25" customHeight="1">
      <c r="A56" s="146"/>
      <c r="B56" s="146"/>
    </row>
    <row r="57" spans="1:2" ht="12.75">
      <c r="A57" s="146"/>
      <c r="B57" s="146"/>
    </row>
    <row r="58" spans="1:2" ht="12.75">
      <c r="A58" s="146"/>
      <c r="B58" s="146"/>
    </row>
    <row r="59" spans="1:2" ht="12.75">
      <c r="A59" s="146"/>
      <c r="B59" s="146"/>
    </row>
    <row r="60" spans="1:2" ht="12.75">
      <c r="A60" s="146"/>
      <c r="B60" s="146"/>
    </row>
    <row r="61" spans="1:2" ht="12.75">
      <c r="A61" s="146"/>
      <c r="B61" s="146"/>
    </row>
    <row r="62" spans="1:2" ht="12.75">
      <c r="A62" s="146"/>
      <c r="B62" s="146"/>
    </row>
    <row r="63" spans="1:2" ht="15.75" customHeight="1">
      <c r="A63" s="146"/>
      <c r="B63" s="146"/>
    </row>
    <row r="64" spans="1:2" ht="12.75">
      <c r="A64" s="146"/>
      <c r="B64" s="146"/>
    </row>
    <row r="65" spans="1:2" ht="12.75">
      <c r="A65" s="146"/>
      <c r="B65" s="146"/>
    </row>
    <row r="66" spans="1:2" ht="12.75">
      <c r="A66" s="146"/>
      <c r="B66" s="146"/>
    </row>
    <row r="67" spans="1:2" ht="12.75" customHeight="1">
      <c r="A67" s="146"/>
      <c r="B67" s="146"/>
    </row>
    <row r="68" spans="1:2" ht="12.75">
      <c r="A68" s="146"/>
      <c r="B68" s="146"/>
    </row>
    <row r="69" spans="1:2" s="144" customFormat="1" ht="11.25">
      <c r="A69" s="146"/>
      <c r="B69" s="146"/>
    </row>
    <row r="70" spans="1:2" s="144" customFormat="1" ht="11.25">
      <c r="A70" s="146"/>
      <c r="B70" s="146"/>
    </row>
    <row r="71" spans="1:2" s="144" customFormat="1" ht="11.25">
      <c r="A71" s="146"/>
      <c r="B71" s="146"/>
    </row>
    <row r="72" spans="1:2" s="144" customFormat="1" ht="11.25">
      <c r="A72" s="146"/>
      <c r="B72" s="146"/>
    </row>
    <row r="73" spans="1:2" s="144" customFormat="1" ht="11.25">
      <c r="A73" s="146"/>
      <c r="B73" s="146"/>
    </row>
    <row r="74" spans="1:2" s="144" customFormat="1" ht="11.25">
      <c r="A74" s="146"/>
      <c r="B74" s="146"/>
    </row>
    <row r="75" spans="1:2" s="144" customFormat="1" ht="11.25">
      <c r="A75" s="146"/>
      <c r="B75" s="146"/>
    </row>
    <row r="76" spans="1:2" s="144" customFormat="1" ht="11.25">
      <c r="A76" s="146"/>
      <c r="B76" s="146"/>
    </row>
    <row r="77" spans="1:2" s="144" customFormat="1" ht="11.25">
      <c r="A77" s="146"/>
      <c r="B77" s="146"/>
    </row>
    <row r="78" spans="1:2" s="144" customFormat="1" ht="11.25">
      <c r="A78" s="146"/>
      <c r="B78" s="146"/>
    </row>
    <row r="79" spans="1:2" s="144" customFormat="1" ht="11.25">
      <c r="A79" s="146"/>
      <c r="B79" s="146"/>
    </row>
    <row r="80" spans="1:2" s="144" customFormat="1" ht="11.25">
      <c r="A80" s="146"/>
      <c r="B80" s="146"/>
    </row>
    <row r="81" spans="1:2" s="144" customFormat="1" ht="11.25">
      <c r="A81" s="146"/>
      <c r="B81" s="146"/>
    </row>
    <row r="82" spans="1:2" s="144" customFormat="1" ht="11.25">
      <c r="A82" s="146"/>
      <c r="B82" s="146"/>
    </row>
    <row r="83" spans="1:2" s="144" customFormat="1" ht="11.25">
      <c r="A83" s="146"/>
      <c r="B83" s="146"/>
    </row>
    <row r="84" spans="1:2" s="144" customFormat="1" ht="11.25">
      <c r="A84" s="146"/>
      <c r="B84" s="146"/>
    </row>
    <row r="85" spans="1:2" s="144" customFormat="1" ht="11.25">
      <c r="A85" s="146"/>
      <c r="B85" s="146"/>
    </row>
    <row r="86" spans="1:2" s="144" customFormat="1" ht="11.25">
      <c r="A86" s="146"/>
      <c r="B86" s="146"/>
    </row>
    <row r="87" spans="1:2" s="144" customFormat="1" ht="11.25">
      <c r="A87" s="146"/>
      <c r="B87" s="146"/>
    </row>
    <row r="88" spans="1:2" s="144" customFormat="1" ht="11.25">
      <c r="A88" s="146"/>
      <c r="B88" s="146"/>
    </row>
    <row r="89" spans="1:2" s="144" customFormat="1" ht="11.25">
      <c r="A89" s="146"/>
      <c r="B89" s="146"/>
    </row>
    <row r="90" spans="1:2" s="144" customFormat="1" ht="11.25">
      <c r="A90" s="146"/>
      <c r="B90" s="146"/>
    </row>
    <row r="91" spans="1:2" s="144" customFormat="1" ht="11.25">
      <c r="A91" s="146"/>
      <c r="B91" s="146"/>
    </row>
    <row r="92" spans="1:2" s="144" customFormat="1" ht="11.25">
      <c r="A92" s="146"/>
      <c r="B92" s="146"/>
    </row>
    <row r="93" spans="1:2" s="144" customFormat="1" ht="11.25">
      <c r="A93" s="146"/>
      <c r="B93" s="146"/>
    </row>
    <row r="94" spans="1:2" s="144" customFormat="1" ht="11.25">
      <c r="A94" s="146"/>
      <c r="B94" s="146"/>
    </row>
    <row r="95" spans="1:2" s="144" customFormat="1" ht="11.25">
      <c r="A95" s="146"/>
      <c r="B95" s="146"/>
    </row>
    <row r="96" spans="1:2" s="144" customFormat="1" ht="11.25">
      <c r="A96" s="146"/>
      <c r="B96" s="146"/>
    </row>
    <row r="97" spans="1:2" s="144" customFormat="1" ht="11.25">
      <c r="A97" s="146"/>
      <c r="B97" s="146"/>
    </row>
    <row r="98" spans="1:2" s="144" customFormat="1" ht="11.25">
      <c r="A98" s="146"/>
      <c r="B98" s="146"/>
    </row>
    <row r="99" spans="1:2" s="144" customFormat="1" ht="11.25">
      <c r="A99" s="146"/>
      <c r="B99" s="146"/>
    </row>
    <row r="100" spans="1:2" s="144" customFormat="1" ht="11.25">
      <c r="A100" s="146"/>
      <c r="B100" s="146"/>
    </row>
    <row r="101" spans="1:2" ht="12.75">
      <c r="A101" s="146"/>
      <c r="B101" s="146"/>
    </row>
    <row r="102" spans="1:2" ht="12.75">
      <c r="A102" s="146"/>
      <c r="B102" s="146"/>
    </row>
    <row r="103" spans="1:2" ht="12.75">
      <c r="A103" s="146"/>
      <c r="B103" s="146"/>
    </row>
    <row r="104" spans="1:2" ht="12.75">
      <c r="A104" s="146"/>
      <c r="B104" s="146"/>
    </row>
    <row r="105" spans="1:2" ht="12.75">
      <c r="A105" s="146"/>
      <c r="B105" s="146"/>
    </row>
    <row r="106" spans="1:2" ht="12.75">
      <c r="A106" s="146"/>
      <c r="B106" s="146"/>
    </row>
    <row r="107" spans="1:2" ht="12.75">
      <c r="A107" s="146"/>
      <c r="B107" s="146"/>
    </row>
    <row r="108" spans="1:2" ht="12.75">
      <c r="A108" s="146"/>
      <c r="B108" s="146"/>
    </row>
    <row r="109" spans="1:2" ht="12.75">
      <c r="A109" s="146"/>
      <c r="B109" s="146"/>
    </row>
    <row r="110" spans="1:2" ht="12.75">
      <c r="A110" s="146"/>
      <c r="B110" s="146"/>
    </row>
    <row r="111" spans="1:2" ht="12.75">
      <c r="A111" s="146"/>
      <c r="B111" s="146"/>
    </row>
    <row r="112" spans="1:2" ht="12.75">
      <c r="A112" s="146"/>
      <c r="B112" s="3"/>
    </row>
    <row r="113" spans="1:2" ht="12.75">
      <c r="A113" s="4"/>
      <c r="B113" s="3"/>
    </row>
    <row r="114" spans="1:2" ht="12.75">
      <c r="A114" s="4"/>
      <c r="B114" s="3"/>
    </row>
    <row r="115" spans="1:2" ht="12.75">
      <c r="A115" s="4"/>
      <c r="B115" s="3"/>
    </row>
    <row r="116" spans="1:2" ht="12.75">
      <c r="A116" s="4"/>
      <c r="B116" s="3"/>
    </row>
    <row r="117" spans="1:2" ht="12.75">
      <c r="A117" s="4"/>
      <c r="B117" s="3"/>
    </row>
    <row r="118" spans="1:2" ht="12.75">
      <c r="A118" s="4"/>
      <c r="B118" s="3"/>
    </row>
    <row r="119" spans="1:2" ht="12.75">
      <c r="A119" s="4"/>
      <c r="B119" s="3"/>
    </row>
    <row r="120" spans="1:2" ht="12.75">
      <c r="A120" s="4"/>
      <c r="B120" s="3"/>
    </row>
    <row r="121" spans="1:2" ht="12.75">
      <c r="A121" s="4"/>
      <c r="B121" s="3"/>
    </row>
    <row r="122" spans="1:2" ht="12.75">
      <c r="A122" s="4"/>
      <c r="B122" s="3"/>
    </row>
    <row r="123" spans="1:2" ht="12.75">
      <c r="A123" s="4"/>
      <c r="B123" s="3"/>
    </row>
    <row r="124" spans="1:2" s="144" customFormat="1" ht="12.75">
      <c r="A124" s="4"/>
      <c r="B124" s="3"/>
    </row>
    <row r="125" spans="1:2" s="144" customFormat="1" ht="12.75">
      <c r="A125" s="4"/>
      <c r="B125" s="3"/>
    </row>
    <row r="126" spans="1:2" s="144" customFormat="1" ht="12.75">
      <c r="A126" s="4"/>
      <c r="B126" s="3"/>
    </row>
    <row r="127" spans="1:2" s="144" customFormat="1" ht="12.75">
      <c r="A127" s="4"/>
      <c r="B127" s="3"/>
    </row>
    <row r="128" spans="1:2" s="144" customFormat="1" ht="12.75">
      <c r="A128" s="4"/>
      <c r="B128" s="3"/>
    </row>
    <row r="129" spans="1:2" s="144" customFormat="1" ht="12.75">
      <c r="A129" s="4"/>
      <c r="B129" s="3"/>
    </row>
    <row r="130" spans="1:2" s="144" customFormat="1" ht="12.75">
      <c r="A130" s="4"/>
      <c r="B130" s="3"/>
    </row>
    <row r="131" spans="1:2" s="144" customFormat="1" ht="12.75">
      <c r="A131" s="4"/>
      <c r="B131" s="3"/>
    </row>
    <row r="132" spans="1:2" s="144" customFormat="1" ht="12.75">
      <c r="A132" s="4"/>
      <c r="B132" s="3"/>
    </row>
    <row r="133" spans="1:2" s="144" customFormat="1" ht="12.75">
      <c r="A133" s="4"/>
      <c r="B133" s="3"/>
    </row>
    <row r="134" spans="1:2" s="144" customFormat="1" ht="12.75">
      <c r="A134" s="4"/>
      <c r="B134" s="3"/>
    </row>
    <row r="135" spans="1:2" s="144" customFormat="1" ht="12.75">
      <c r="A135" s="4"/>
      <c r="B135" s="3"/>
    </row>
    <row r="136" spans="1:2" s="144" customFormat="1" ht="12.75">
      <c r="A136" s="4"/>
      <c r="B136" s="3"/>
    </row>
    <row r="137" spans="1:2" s="144" customFormat="1" ht="12.75">
      <c r="A137" s="4"/>
      <c r="B137" s="3"/>
    </row>
    <row r="138" spans="1:2" s="144" customFormat="1" ht="12.75">
      <c r="A138" s="4"/>
      <c r="B138"/>
    </row>
  </sheetData>
  <sheetProtection/>
  <mergeCells count="5">
    <mergeCell ref="D2:D3"/>
    <mergeCell ref="A1:D1"/>
    <mergeCell ref="C2:C3"/>
    <mergeCell ref="A2:A3"/>
    <mergeCell ref="B2:B3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scale="10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G599"/>
  <sheetViews>
    <sheetView zoomScaleSheetLayoutView="75" zoomScalePageLayoutView="0" workbookViewId="0" topLeftCell="A1">
      <pane xSplit="4" ySplit="4" topLeftCell="E49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479" activeCellId="1" sqref="H473 H479"/>
    </sheetView>
  </sheetViews>
  <sheetFormatPr defaultColWidth="9.140625" defaultRowHeight="12.75"/>
  <cols>
    <col min="1" max="1" width="6.8515625" style="7" customWidth="1"/>
    <col min="2" max="2" width="9.140625" style="6" customWidth="1"/>
    <col min="3" max="3" width="8.28125" style="6" customWidth="1"/>
    <col min="4" max="4" width="47.140625" style="6" customWidth="1"/>
    <col min="5" max="7" width="14.28125" style="57" customWidth="1"/>
    <col min="8" max="8" width="13.00390625" style="57" customWidth="1"/>
    <col min="9" max="9" width="9.57421875" style="57" customWidth="1"/>
    <col min="10" max="10" width="8.57421875" style="52" customWidth="1"/>
    <col min="11" max="11" width="13.57421875" style="389" customWidth="1"/>
    <col min="12" max="12" width="13.140625" style="398" customWidth="1"/>
    <col min="13" max="16384" width="9.140625" style="6" customWidth="1"/>
  </cols>
  <sheetData>
    <row r="1" spans="1:10" ht="36" customHeight="1" thickBot="1">
      <c r="A1" s="560" t="s">
        <v>555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ht="24.75" customHeight="1" thickTop="1">
      <c r="A2" s="561" t="s">
        <v>231</v>
      </c>
      <c r="B2" s="529" t="s">
        <v>4</v>
      </c>
      <c r="C2" s="529"/>
      <c r="D2" s="529" t="s">
        <v>233</v>
      </c>
      <c r="E2" s="547" t="s">
        <v>483</v>
      </c>
      <c r="F2" s="564" t="s">
        <v>552</v>
      </c>
      <c r="G2" s="564" t="s">
        <v>534</v>
      </c>
      <c r="H2" s="564" t="s">
        <v>550</v>
      </c>
      <c r="I2" s="547" t="s">
        <v>118</v>
      </c>
      <c r="J2" s="562" t="s">
        <v>119</v>
      </c>
    </row>
    <row r="3" spans="1:12" s="61" customFormat="1" ht="70.5" customHeight="1">
      <c r="A3" s="544"/>
      <c r="B3" s="108" t="s">
        <v>232</v>
      </c>
      <c r="C3" s="108" t="s">
        <v>26</v>
      </c>
      <c r="D3" s="533"/>
      <c r="E3" s="548"/>
      <c r="F3" s="547"/>
      <c r="G3" s="547"/>
      <c r="H3" s="547"/>
      <c r="I3" s="548"/>
      <c r="J3" s="563"/>
      <c r="K3" s="390"/>
      <c r="L3" s="399"/>
    </row>
    <row r="4" spans="1:10" ht="9.75" customHeight="1">
      <c r="A4" s="109">
        <v>1</v>
      </c>
      <c r="B4" s="110">
        <v>2</v>
      </c>
      <c r="C4" s="110">
        <v>3</v>
      </c>
      <c r="D4" s="110">
        <v>4</v>
      </c>
      <c r="E4" s="366">
        <v>5</v>
      </c>
      <c r="F4" s="366">
        <v>6</v>
      </c>
      <c r="G4" s="366" t="s">
        <v>538</v>
      </c>
      <c r="H4" s="366">
        <v>8</v>
      </c>
      <c r="I4" s="366" t="s">
        <v>539</v>
      </c>
      <c r="J4" s="368">
        <v>10</v>
      </c>
    </row>
    <row r="5" spans="1:10" ht="9.75" customHeight="1">
      <c r="A5" s="556"/>
      <c r="B5" s="557"/>
      <c r="C5" s="545" t="s">
        <v>243</v>
      </c>
      <c r="D5" s="546"/>
      <c r="E5" s="170"/>
      <c r="F5" s="170"/>
      <c r="G5" s="170"/>
      <c r="H5" s="170"/>
      <c r="I5" s="170"/>
      <c r="J5" s="369"/>
    </row>
    <row r="6" spans="1:10" ht="9.75" customHeight="1">
      <c r="A6" s="556"/>
      <c r="B6" s="557"/>
      <c r="C6" s="545"/>
      <c r="D6" s="546"/>
      <c r="E6" s="171"/>
      <c r="F6" s="171"/>
      <c r="G6" s="171"/>
      <c r="H6" s="171"/>
      <c r="I6" s="171"/>
      <c r="J6" s="370"/>
    </row>
    <row r="7" spans="1:12" ht="19.5" customHeight="1">
      <c r="A7" s="556"/>
      <c r="B7" s="557"/>
      <c r="C7" s="545"/>
      <c r="D7" s="546"/>
      <c r="E7" s="172"/>
      <c r="F7" s="172"/>
      <c r="G7" s="172"/>
      <c r="H7" s="172"/>
      <c r="I7" s="172"/>
      <c r="J7" s="371"/>
      <c r="L7" s="400"/>
    </row>
    <row r="8" spans="1:12" ht="15" customHeight="1">
      <c r="A8" s="138"/>
      <c r="B8" s="24">
        <v>411000</v>
      </c>
      <c r="C8" s="18"/>
      <c r="D8" s="33" t="s">
        <v>141</v>
      </c>
      <c r="E8" s="358">
        <f>SUM(E9)</f>
        <v>1000</v>
      </c>
      <c r="F8" s="358">
        <f>SUM(F9)</f>
        <v>1000</v>
      </c>
      <c r="G8" s="358">
        <f>SUM(G9)</f>
        <v>2000</v>
      </c>
      <c r="H8" s="358">
        <f>SUM(H9)</f>
        <v>1154.24</v>
      </c>
      <c r="I8" s="360">
        <f>IF(G8&gt;0,H8/G8*100,0)</f>
        <v>57.711999999999996</v>
      </c>
      <c r="J8" s="359">
        <f aca="true" t="shared" si="0" ref="J8:J20">H8/$H$494*100</f>
        <v>0.009393752932607769</v>
      </c>
      <c r="L8" s="400"/>
    </row>
    <row r="9" spans="1:12" ht="13.5" customHeight="1">
      <c r="A9" s="138" t="s">
        <v>27</v>
      </c>
      <c r="B9" s="266"/>
      <c r="C9" s="269">
        <v>411200</v>
      </c>
      <c r="D9" s="45" t="s">
        <v>428</v>
      </c>
      <c r="E9" s="268">
        <v>1000</v>
      </c>
      <c r="F9" s="501">
        <v>1000</v>
      </c>
      <c r="G9" s="501">
        <f aca="true" t="shared" si="1" ref="G9:G19">E9+F9</f>
        <v>2000</v>
      </c>
      <c r="H9" s="501">
        <v>1154.24</v>
      </c>
      <c r="I9" s="209">
        <f aca="true" t="shared" si="2" ref="I9:I20">IF(G9&gt;0,H9/G9*100,0)</f>
        <v>57.711999999999996</v>
      </c>
      <c r="J9" s="291">
        <f t="shared" si="0"/>
        <v>0.009393752932607769</v>
      </c>
      <c r="L9" s="400"/>
    </row>
    <row r="10" spans="1:12" ht="14.25" customHeight="1">
      <c r="A10" s="138"/>
      <c r="B10" s="24">
        <v>412000</v>
      </c>
      <c r="C10" s="18"/>
      <c r="D10" s="33" t="s">
        <v>143</v>
      </c>
      <c r="E10" s="66">
        <f>SUM(E11:E15)</f>
        <v>285000</v>
      </c>
      <c r="F10" s="66">
        <f>SUM(F11:F15)</f>
        <v>-1000</v>
      </c>
      <c r="G10" s="66">
        <f>SUM(G11:G15)</f>
        <v>284000</v>
      </c>
      <c r="H10" s="66">
        <f>SUM(H11:H15)</f>
        <v>120889.68000000001</v>
      </c>
      <c r="I10" s="188">
        <f t="shared" si="2"/>
        <v>42.566788732394365</v>
      </c>
      <c r="J10" s="317">
        <f t="shared" si="0"/>
        <v>0.9838575911612965</v>
      </c>
      <c r="L10" s="400"/>
    </row>
    <row r="11" spans="1:13" ht="12.75" customHeight="1">
      <c r="A11" s="138" t="s">
        <v>27</v>
      </c>
      <c r="B11" s="26"/>
      <c r="C11" s="18">
        <v>412900</v>
      </c>
      <c r="D11" s="31" t="s">
        <v>0</v>
      </c>
      <c r="E11" s="197">
        <v>9500</v>
      </c>
      <c r="F11" s="197">
        <v>-1000</v>
      </c>
      <c r="G11" s="197">
        <f t="shared" si="1"/>
        <v>8500</v>
      </c>
      <c r="H11" s="197">
        <v>6650.08</v>
      </c>
      <c r="I11" s="209">
        <f t="shared" si="2"/>
        <v>78.23623529411765</v>
      </c>
      <c r="J11" s="291">
        <f t="shared" si="0"/>
        <v>0.0541215072273325</v>
      </c>
      <c r="M11" s="15"/>
    </row>
    <row r="12" spans="1:13" ht="12.75" customHeight="1">
      <c r="A12" s="138" t="s">
        <v>27</v>
      </c>
      <c r="B12" s="26"/>
      <c r="C12" s="18">
        <v>412900</v>
      </c>
      <c r="D12" s="31" t="s">
        <v>234</v>
      </c>
      <c r="E12" s="185">
        <v>4500</v>
      </c>
      <c r="F12" s="197">
        <v>0</v>
      </c>
      <c r="G12" s="185">
        <f t="shared" si="1"/>
        <v>4500</v>
      </c>
      <c r="H12" s="185">
        <v>2792.85</v>
      </c>
      <c r="I12" s="209">
        <f t="shared" si="2"/>
        <v>62.063333333333325</v>
      </c>
      <c r="J12" s="291">
        <f t="shared" si="0"/>
        <v>0.02272953881154145</v>
      </c>
      <c r="M12" s="15"/>
    </row>
    <row r="13" spans="1:13" ht="12.75" customHeight="1">
      <c r="A13" s="41" t="s">
        <v>27</v>
      </c>
      <c r="B13" s="26"/>
      <c r="C13" s="39">
        <v>412900</v>
      </c>
      <c r="D13" s="35" t="s">
        <v>101</v>
      </c>
      <c r="E13" s="197">
        <v>210000</v>
      </c>
      <c r="F13" s="197">
        <v>0</v>
      </c>
      <c r="G13" s="197">
        <f t="shared" si="1"/>
        <v>210000</v>
      </c>
      <c r="H13" s="197">
        <v>100214.77</v>
      </c>
      <c r="I13" s="209">
        <f t="shared" si="2"/>
        <v>47.72131904761905</v>
      </c>
      <c r="J13" s="291">
        <f t="shared" si="0"/>
        <v>0.8155953610844477</v>
      </c>
      <c r="M13" s="15"/>
    </row>
    <row r="14" spans="1:13" ht="12.75" customHeight="1">
      <c r="A14" s="41" t="s">
        <v>27</v>
      </c>
      <c r="B14" s="26"/>
      <c r="C14" s="39">
        <v>412900</v>
      </c>
      <c r="D14" s="35" t="s">
        <v>206</v>
      </c>
      <c r="E14" s="197">
        <v>4000</v>
      </c>
      <c r="F14" s="197">
        <v>0</v>
      </c>
      <c r="G14" s="197">
        <f t="shared" si="1"/>
        <v>4000</v>
      </c>
      <c r="H14" s="197">
        <v>104.5</v>
      </c>
      <c r="I14" s="209">
        <f t="shared" si="2"/>
        <v>2.6125</v>
      </c>
      <c r="J14" s="291">
        <f t="shared" si="0"/>
        <v>0.0008504705966328595</v>
      </c>
      <c r="M14" s="15"/>
    </row>
    <row r="15" spans="1:13" ht="12.75" customHeight="1">
      <c r="A15" s="41" t="s">
        <v>29</v>
      </c>
      <c r="B15" s="26"/>
      <c r="C15" s="39">
        <v>412900</v>
      </c>
      <c r="D15" s="35" t="s">
        <v>242</v>
      </c>
      <c r="E15" s="197">
        <v>57000</v>
      </c>
      <c r="F15" s="197">
        <v>0</v>
      </c>
      <c r="G15" s="197">
        <f t="shared" si="1"/>
        <v>57000</v>
      </c>
      <c r="H15" s="197">
        <v>11127.48</v>
      </c>
      <c r="I15" s="209">
        <f t="shared" si="2"/>
        <v>19.521894736842103</v>
      </c>
      <c r="J15" s="291">
        <f t="shared" si="0"/>
        <v>0.09056071344134174</v>
      </c>
      <c r="M15" s="15"/>
    </row>
    <row r="16" spans="1:13" ht="12.75" customHeight="1" hidden="1">
      <c r="A16" s="41" t="s">
        <v>27</v>
      </c>
      <c r="B16" s="26"/>
      <c r="C16" s="39">
        <v>412900</v>
      </c>
      <c r="D16" s="35" t="s">
        <v>152</v>
      </c>
      <c r="E16" s="197"/>
      <c r="F16" s="197"/>
      <c r="G16" s="197">
        <f t="shared" si="1"/>
        <v>0</v>
      </c>
      <c r="H16" s="197"/>
      <c r="I16" s="188">
        <f t="shared" si="2"/>
        <v>0</v>
      </c>
      <c r="J16" s="317">
        <f t="shared" si="0"/>
        <v>0</v>
      </c>
      <c r="M16" s="15"/>
    </row>
    <row r="17" spans="1:13" ht="14.25" customHeight="1">
      <c r="A17" s="138"/>
      <c r="B17" s="24">
        <v>415000</v>
      </c>
      <c r="C17" s="18"/>
      <c r="D17" s="36" t="s">
        <v>157</v>
      </c>
      <c r="E17" s="66">
        <f>SUM(E18:E19)</f>
        <v>35000</v>
      </c>
      <c r="F17" s="66">
        <f>SUM(F18:F19)</f>
        <v>0</v>
      </c>
      <c r="G17" s="66">
        <f>SUM(G18:G19)</f>
        <v>35000</v>
      </c>
      <c r="H17" s="66">
        <f>SUM(H18:H19)</f>
        <v>11199.87</v>
      </c>
      <c r="I17" s="188">
        <f t="shared" si="2"/>
        <v>31.999628571428573</v>
      </c>
      <c r="J17" s="317">
        <f t="shared" si="0"/>
        <v>0.09114985761828197</v>
      </c>
      <c r="M17" s="15"/>
    </row>
    <row r="18" spans="1:13" ht="12.75" customHeight="1">
      <c r="A18" s="138" t="s">
        <v>29</v>
      </c>
      <c r="B18" s="26"/>
      <c r="C18" s="18">
        <v>415200</v>
      </c>
      <c r="D18" s="31" t="s">
        <v>241</v>
      </c>
      <c r="E18" s="197">
        <v>28000</v>
      </c>
      <c r="F18" s="197">
        <v>0</v>
      </c>
      <c r="G18" s="197">
        <f t="shared" si="1"/>
        <v>28000</v>
      </c>
      <c r="H18" s="197">
        <v>11199.87</v>
      </c>
      <c r="I18" s="209">
        <f t="shared" si="2"/>
        <v>39.99953571428571</v>
      </c>
      <c r="J18" s="291">
        <f t="shared" si="0"/>
        <v>0.09114985761828197</v>
      </c>
      <c r="M18" s="15"/>
    </row>
    <row r="19" spans="1:13" ht="24.75" customHeight="1">
      <c r="A19" s="138" t="s">
        <v>29</v>
      </c>
      <c r="B19" s="26"/>
      <c r="C19" s="18">
        <v>415200</v>
      </c>
      <c r="D19" s="31" t="s">
        <v>442</v>
      </c>
      <c r="E19" s="197">
        <v>7000</v>
      </c>
      <c r="F19" s="197">
        <v>0</v>
      </c>
      <c r="G19" s="197">
        <f t="shared" si="1"/>
        <v>7000</v>
      </c>
      <c r="H19" s="197">
        <v>0</v>
      </c>
      <c r="I19" s="209">
        <f t="shared" si="2"/>
        <v>0</v>
      </c>
      <c r="J19" s="291">
        <f t="shared" si="0"/>
        <v>0</v>
      </c>
      <c r="M19" s="15"/>
    </row>
    <row r="20" spans="1:13" ht="27" customHeight="1">
      <c r="A20" s="556"/>
      <c r="B20" s="557"/>
      <c r="C20" s="549" t="s">
        <v>84</v>
      </c>
      <c r="D20" s="549"/>
      <c r="E20" s="350">
        <f>E8+E10+E17</f>
        <v>321000</v>
      </c>
      <c r="F20" s="350">
        <f>F8+F10+F17</f>
        <v>0</v>
      </c>
      <c r="G20" s="350">
        <f>G8+G10+G17</f>
        <v>321000</v>
      </c>
      <c r="H20" s="350">
        <f>H8+H10+H17</f>
        <v>133243.79</v>
      </c>
      <c r="I20" s="351">
        <f t="shared" si="2"/>
        <v>41.50896884735203</v>
      </c>
      <c r="J20" s="357">
        <f t="shared" si="0"/>
        <v>1.0844012017121862</v>
      </c>
      <c r="M20" s="15"/>
    </row>
    <row r="21" spans="1:13" ht="9.75" customHeight="1">
      <c r="A21" s="556"/>
      <c r="B21" s="557"/>
      <c r="C21" s="545" t="s">
        <v>244</v>
      </c>
      <c r="D21" s="546"/>
      <c r="E21" s="173"/>
      <c r="F21" s="173"/>
      <c r="G21" s="173"/>
      <c r="H21" s="173"/>
      <c r="I21" s="173"/>
      <c r="J21" s="372"/>
      <c r="M21" s="15"/>
    </row>
    <row r="22" spans="1:13" ht="9.75" customHeight="1">
      <c r="A22" s="556"/>
      <c r="B22" s="557"/>
      <c r="C22" s="545"/>
      <c r="D22" s="546"/>
      <c r="E22" s="174"/>
      <c r="F22" s="174"/>
      <c r="G22" s="174"/>
      <c r="H22" s="174"/>
      <c r="I22" s="174"/>
      <c r="J22" s="373"/>
      <c r="M22" s="15"/>
    </row>
    <row r="23" spans="1:13" ht="19.5" customHeight="1">
      <c r="A23" s="556"/>
      <c r="B23" s="557"/>
      <c r="C23" s="545"/>
      <c r="D23" s="546"/>
      <c r="E23" s="175"/>
      <c r="F23" s="175"/>
      <c r="G23" s="175"/>
      <c r="H23" s="175"/>
      <c r="I23" s="175"/>
      <c r="J23" s="374"/>
      <c r="M23" s="15"/>
    </row>
    <row r="24" spans="1:13" ht="15" customHeight="1">
      <c r="A24" s="138"/>
      <c r="B24" s="24">
        <v>411000</v>
      </c>
      <c r="C24" s="18"/>
      <c r="D24" s="33" t="s">
        <v>141</v>
      </c>
      <c r="E24" s="358">
        <f>SUM(E25)</f>
        <v>2500</v>
      </c>
      <c r="F24" s="358">
        <f>SUM(F25)</f>
        <v>0</v>
      </c>
      <c r="G24" s="358">
        <f>SUM(G25)</f>
        <v>2500</v>
      </c>
      <c r="H24" s="358">
        <f>SUM(H25)</f>
        <v>1020.25</v>
      </c>
      <c r="I24" s="358">
        <f aca="true" t="shared" si="3" ref="I24:I39">IF(G24&gt;0,H24/G24*100,0)</f>
        <v>40.81</v>
      </c>
      <c r="J24" s="359">
        <f aca="true" t="shared" si="4" ref="J24:J39">H24/$H$494*100</f>
        <v>0.008303278719757655</v>
      </c>
      <c r="M24" s="15"/>
    </row>
    <row r="25" spans="1:13" ht="12.75">
      <c r="A25" s="138" t="s">
        <v>27</v>
      </c>
      <c r="B25" s="266"/>
      <c r="C25" s="269">
        <v>411200</v>
      </c>
      <c r="D25" s="45" t="s">
        <v>428</v>
      </c>
      <c r="E25" s="268">
        <v>2500</v>
      </c>
      <c r="F25" s="268">
        <v>0</v>
      </c>
      <c r="G25" s="268">
        <f aca="true" t="shared" si="5" ref="G25:G38">E25+F25</f>
        <v>2500</v>
      </c>
      <c r="H25" s="268">
        <v>1020.25</v>
      </c>
      <c r="I25" s="320">
        <f t="shared" si="3"/>
        <v>40.81</v>
      </c>
      <c r="J25" s="291">
        <f t="shared" si="4"/>
        <v>0.008303278719757655</v>
      </c>
      <c r="M25" s="15"/>
    </row>
    <row r="26" spans="1:13" ht="14.25" customHeight="1">
      <c r="A26" s="138"/>
      <c r="B26" s="24">
        <v>412000</v>
      </c>
      <c r="C26" s="18"/>
      <c r="D26" s="33" t="s">
        <v>143</v>
      </c>
      <c r="E26" s="66">
        <f>SUM(E27:E35)</f>
        <v>79000</v>
      </c>
      <c r="F26" s="66">
        <f>SUM(F27:F35)</f>
        <v>4000</v>
      </c>
      <c r="G26" s="66">
        <f>SUM(G27:G35)</f>
        <v>83000</v>
      </c>
      <c r="H26" s="66">
        <f>SUM(H27:H35)</f>
        <v>71878.18</v>
      </c>
      <c r="I26" s="66">
        <f t="shared" si="3"/>
        <v>86.60021686746987</v>
      </c>
      <c r="J26" s="317">
        <f t="shared" si="4"/>
        <v>0.5849787428658761</v>
      </c>
      <c r="M26" s="15"/>
    </row>
    <row r="27" spans="1:13" ht="12.75" customHeight="1">
      <c r="A27" s="138" t="s">
        <v>27</v>
      </c>
      <c r="B27" s="34"/>
      <c r="C27" s="18">
        <v>412900</v>
      </c>
      <c r="D27" s="31" t="s">
        <v>0</v>
      </c>
      <c r="E27" s="185">
        <v>20000</v>
      </c>
      <c r="F27" s="185">
        <v>0</v>
      </c>
      <c r="G27" s="185">
        <f t="shared" si="5"/>
        <v>20000</v>
      </c>
      <c r="H27" s="185">
        <v>15380.93</v>
      </c>
      <c r="I27" s="320">
        <f t="shared" si="3"/>
        <v>76.90465</v>
      </c>
      <c r="J27" s="291">
        <f t="shared" si="4"/>
        <v>0.1251773082666818</v>
      </c>
      <c r="M27" s="15"/>
    </row>
    <row r="28" spans="1:13" ht="12.75" customHeight="1" hidden="1">
      <c r="A28" s="138" t="s">
        <v>27</v>
      </c>
      <c r="B28" s="34"/>
      <c r="C28" s="18">
        <v>412900</v>
      </c>
      <c r="D28" s="31" t="s">
        <v>389</v>
      </c>
      <c r="E28" s="185"/>
      <c r="F28" s="185"/>
      <c r="G28" s="185">
        <f t="shared" si="5"/>
        <v>0</v>
      </c>
      <c r="H28" s="185"/>
      <c r="I28" s="320">
        <f t="shared" si="3"/>
        <v>0</v>
      </c>
      <c r="J28" s="291">
        <f t="shared" si="4"/>
        <v>0</v>
      </c>
      <c r="M28" s="15"/>
    </row>
    <row r="29" spans="1:14" ht="12.75" customHeight="1">
      <c r="A29" s="138" t="s">
        <v>27</v>
      </c>
      <c r="B29" s="34"/>
      <c r="C29" s="39">
        <v>412900</v>
      </c>
      <c r="D29" s="35" t="s">
        <v>102</v>
      </c>
      <c r="E29" s="185">
        <v>7000</v>
      </c>
      <c r="F29" s="185">
        <v>0</v>
      </c>
      <c r="G29" s="185">
        <f t="shared" si="5"/>
        <v>7000</v>
      </c>
      <c r="H29" s="185">
        <v>2364.6</v>
      </c>
      <c r="I29" s="320">
        <f t="shared" si="3"/>
        <v>33.78</v>
      </c>
      <c r="J29" s="291">
        <f t="shared" si="4"/>
        <v>0.019244237060268513</v>
      </c>
      <c r="K29" s="385"/>
      <c r="L29" s="400"/>
      <c r="M29"/>
      <c r="N29"/>
    </row>
    <row r="30" spans="1:10" ht="12.75" customHeight="1" hidden="1">
      <c r="A30" s="138" t="s">
        <v>27</v>
      </c>
      <c r="B30" s="24"/>
      <c r="C30" s="38">
        <v>412900</v>
      </c>
      <c r="D30" s="40" t="s">
        <v>212</v>
      </c>
      <c r="E30" s="185">
        <v>0</v>
      </c>
      <c r="F30" s="185"/>
      <c r="G30" s="185">
        <f t="shared" si="5"/>
        <v>0</v>
      </c>
      <c r="H30" s="185"/>
      <c r="I30" s="320">
        <f t="shared" si="3"/>
        <v>0</v>
      </c>
      <c r="J30" s="291">
        <f t="shared" si="4"/>
        <v>0</v>
      </c>
    </row>
    <row r="31" spans="1:10" ht="12" customHeight="1">
      <c r="A31" s="41" t="s">
        <v>27</v>
      </c>
      <c r="B31" s="34"/>
      <c r="C31" s="38">
        <v>412900</v>
      </c>
      <c r="D31" s="35" t="s">
        <v>287</v>
      </c>
      <c r="E31" s="185">
        <v>7000</v>
      </c>
      <c r="F31" s="185">
        <v>0</v>
      </c>
      <c r="G31" s="185">
        <f t="shared" si="5"/>
        <v>7000</v>
      </c>
      <c r="H31" s="185">
        <v>6948.4</v>
      </c>
      <c r="I31" s="320">
        <f t="shared" si="3"/>
        <v>99.26285714285714</v>
      </c>
      <c r="J31" s="291">
        <f t="shared" si="4"/>
        <v>0.05654937697266756</v>
      </c>
    </row>
    <row r="32" spans="1:10" ht="1.5" customHeight="1" hidden="1">
      <c r="A32" s="41" t="s">
        <v>27</v>
      </c>
      <c r="B32" s="34"/>
      <c r="C32" s="38">
        <v>412900</v>
      </c>
      <c r="D32" s="35" t="s">
        <v>152</v>
      </c>
      <c r="E32" s="185">
        <v>0</v>
      </c>
      <c r="F32" s="185"/>
      <c r="G32" s="185">
        <f t="shared" si="5"/>
        <v>0</v>
      </c>
      <c r="H32" s="185"/>
      <c r="I32" s="320">
        <f t="shared" si="3"/>
        <v>0</v>
      </c>
      <c r="J32" s="291">
        <f t="shared" si="4"/>
        <v>0</v>
      </c>
    </row>
    <row r="33" spans="1:10" ht="12.75" customHeight="1">
      <c r="A33" s="41" t="s">
        <v>27</v>
      </c>
      <c r="B33" s="34"/>
      <c r="C33" s="38">
        <v>412900</v>
      </c>
      <c r="D33" s="35" t="s">
        <v>356</v>
      </c>
      <c r="E33" s="185">
        <v>3000</v>
      </c>
      <c r="F33" s="185">
        <v>0</v>
      </c>
      <c r="G33" s="185">
        <f t="shared" si="5"/>
        <v>3000</v>
      </c>
      <c r="H33" s="185">
        <v>1400</v>
      </c>
      <c r="I33" s="320">
        <f t="shared" si="3"/>
        <v>46.666666666666664</v>
      </c>
      <c r="J33" s="291">
        <f t="shared" si="4"/>
        <v>0.011393864452497638</v>
      </c>
    </row>
    <row r="34" spans="1:10" ht="24" customHeight="1" hidden="1">
      <c r="A34" s="41" t="s">
        <v>27</v>
      </c>
      <c r="B34" s="34"/>
      <c r="C34" s="38">
        <v>412900</v>
      </c>
      <c r="D34" s="35" t="s">
        <v>444</v>
      </c>
      <c r="E34" s="197">
        <v>0</v>
      </c>
      <c r="F34" s="197"/>
      <c r="G34" s="197">
        <f t="shared" si="5"/>
        <v>0</v>
      </c>
      <c r="H34" s="197"/>
      <c r="I34" s="320">
        <f t="shared" si="3"/>
        <v>0</v>
      </c>
      <c r="J34" s="291">
        <f t="shared" si="4"/>
        <v>0</v>
      </c>
    </row>
    <row r="35" spans="1:10" ht="24" customHeight="1">
      <c r="A35" s="41" t="s">
        <v>27</v>
      </c>
      <c r="B35" s="34"/>
      <c r="C35" s="38">
        <v>412900</v>
      </c>
      <c r="D35" s="35" t="s">
        <v>511</v>
      </c>
      <c r="E35" s="197">
        <v>42000</v>
      </c>
      <c r="F35" s="197">
        <v>4000</v>
      </c>
      <c r="G35" s="197">
        <f t="shared" si="5"/>
        <v>46000</v>
      </c>
      <c r="H35" s="197">
        <v>45784.25</v>
      </c>
      <c r="I35" s="320">
        <f t="shared" si="3"/>
        <v>99.53097826086956</v>
      </c>
      <c r="J35" s="291">
        <f t="shared" si="4"/>
        <v>0.37261395611376075</v>
      </c>
    </row>
    <row r="36" spans="1:10" ht="12.75" customHeight="1" hidden="1">
      <c r="A36" s="41" t="s">
        <v>33</v>
      </c>
      <c r="B36" s="34"/>
      <c r="C36" s="38">
        <v>416100</v>
      </c>
      <c r="D36" s="31" t="s">
        <v>224</v>
      </c>
      <c r="E36" s="197">
        <v>0</v>
      </c>
      <c r="F36" s="197"/>
      <c r="G36" s="197">
        <f t="shared" si="5"/>
        <v>0</v>
      </c>
      <c r="H36" s="197"/>
      <c r="I36" s="320">
        <f t="shared" si="3"/>
        <v>0</v>
      </c>
      <c r="J36" s="291">
        <f t="shared" si="4"/>
        <v>0</v>
      </c>
    </row>
    <row r="37" spans="1:10" ht="23.25" customHeight="1" hidden="1">
      <c r="A37" s="41" t="s">
        <v>59</v>
      </c>
      <c r="B37" s="34"/>
      <c r="C37" s="38">
        <v>511200</v>
      </c>
      <c r="D37" s="31" t="s">
        <v>383</v>
      </c>
      <c r="E37" s="197"/>
      <c r="F37" s="197"/>
      <c r="G37" s="197">
        <f t="shared" si="5"/>
        <v>0</v>
      </c>
      <c r="H37" s="197"/>
      <c r="I37" s="320">
        <f t="shared" si="3"/>
        <v>0</v>
      </c>
      <c r="J37" s="291">
        <f t="shared" si="4"/>
        <v>0</v>
      </c>
    </row>
    <row r="38" spans="1:10" ht="12.75" hidden="1">
      <c r="A38" s="41" t="s">
        <v>59</v>
      </c>
      <c r="B38" s="34"/>
      <c r="C38" s="38">
        <v>511300</v>
      </c>
      <c r="D38" s="31" t="s">
        <v>330</v>
      </c>
      <c r="E38" s="197">
        <v>0</v>
      </c>
      <c r="F38" s="197"/>
      <c r="G38" s="197">
        <f t="shared" si="5"/>
        <v>0</v>
      </c>
      <c r="H38" s="197"/>
      <c r="I38" s="320">
        <f t="shared" si="3"/>
        <v>0</v>
      </c>
      <c r="J38" s="291">
        <f t="shared" si="4"/>
        <v>0</v>
      </c>
    </row>
    <row r="39" spans="1:10" ht="27" customHeight="1">
      <c r="A39" s="556"/>
      <c r="B39" s="557"/>
      <c r="C39" s="549" t="s">
        <v>85</v>
      </c>
      <c r="D39" s="549"/>
      <c r="E39" s="72">
        <f>E24+E26</f>
        <v>81500</v>
      </c>
      <c r="F39" s="72">
        <f>F24+F26</f>
        <v>4000</v>
      </c>
      <c r="G39" s="72">
        <f>G24+G26</f>
        <v>85500</v>
      </c>
      <c r="H39" s="72">
        <f>H24+H26</f>
        <v>72898.43</v>
      </c>
      <c r="I39" s="331">
        <f t="shared" si="3"/>
        <v>85.26132163742689</v>
      </c>
      <c r="J39" s="327">
        <f t="shared" si="4"/>
        <v>0.5932820215856339</v>
      </c>
    </row>
    <row r="40" spans="1:10" ht="30" customHeight="1">
      <c r="A40" s="554"/>
      <c r="B40" s="555"/>
      <c r="C40" s="585" t="s">
        <v>542</v>
      </c>
      <c r="D40" s="565"/>
      <c r="E40" s="176"/>
      <c r="F40" s="176"/>
      <c r="G40" s="176"/>
      <c r="H40" s="176"/>
      <c r="I40" s="176"/>
      <c r="J40" s="375"/>
    </row>
    <row r="41" spans="1:10" ht="11.25" customHeight="1">
      <c r="A41" s="554"/>
      <c r="B41" s="555"/>
      <c r="C41" s="566"/>
      <c r="D41" s="565"/>
      <c r="E41" s="177"/>
      <c r="F41" s="177"/>
      <c r="G41" s="177"/>
      <c r="H41" s="177"/>
      <c r="I41" s="177"/>
      <c r="J41" s="376"/>
    </row>
    <row r="42" spans="1:10" ht="13.5" customHeight="1" hidden="1">
      <c r="A42" s="554"/>
      <c r="B42" s="555"/>
      <c r="C42" s="566"/>
      <c r="D42" s="565"/>
      <c r="E42" s="178"/>
      <c r="F42" s="178"/>
      <c r="G42" s="178"/>
      <c r="H42" s="178"/>
      <c r="I42" s="178"/>
      <c r="J42" s="377"/>
    </row>
    <row r="43" spans="1:10" ht="12.75">
      <c r="A43" s="29"/>
      <c r="B43" s="355" t="s">
        <v>458</v>
      </c>
      <c r="C43" s="65"/>
      <c r="D43" s="81" t="s">
        <v>143</v>
      </c>
      <c r="E43" s="367">
        <f>SUM(E44:E47)</f>
        <v>17000</v>
      </c>
      <c r="F43" s="367">
        <f>SUM(F44:F47)</f>
        <v>0</v>
      </c>
      <c r="G43" s="367">
        <f>SUM(G44:G47)</f>
        <v>17000</v>
      </c>
      <c r="H43" s="367">
        <f>SUM(H44:H47)</f>
        <v>15404.53</v>
      </c>
      <c r="I43" s="367">
        <f aca="true" t="shared" si="6" ref="I43:I52">IF(G43&gt;0,H43/G43*100,0)</f>
        <v>90.61488235294118</v>
      </c>
      <c r="J43" s="378">
        <f aca="true" t="shared" si="7" ref="J43:J52">H43/$H$494*100</f>
        <v>0.12536937626745248</v>
      </c>
    </row>
    <row r="44" spans="1:10" ht="12.75" hidden="1">
      <c r="A44" s="138" t="s">
        <v>27</v>
      </c>
      <c r="B44" s="355"/>
      <c r="C44" s="46">
        <v>412900</v>
      </c>
      <c r="D44" s="93" t="s">
        <v>0</v>
      </c>
      <c r="E44" s="267">
        <v>0</v>
      </c>
      <c r="F44" s="267"/>
      <c r="G44" s="267"/>
      <c r="H44" s="267"/>
      <c r="I44" s="267">
        <f t="shared" si="6"/>
        <v>0</v>
      </c>
      <c r="J44" s="379">
        <f t="shared" si="7"/>
        <v>0</v>
      </c>
    </row>
    <row r="45" spans="1:10" ht="12.75">
      <c r="A45" s="138" t="s">
        <v>27</v>
      </c>
      <c r="B45" s="355"/>
      <c r="C45" s="46">
        <v>412700</v>
      </c>
      <c r="D45" s="93" t="s">
        <v>150</v>
      </c>
      <c r="E45" s="267">
        <v>0</v>
      </c>
      <c r="F45" s="267">
        <v>15000</v>
      </c>
      <c r="G45" s="267">
        <f aca="true" t="shared" si="8" ref="G45:G51">E45+F45</f>
        <v>15000</v>
      </c>
      <c r="H45" s="267">
        <v>14995.54</v>
      </c>
      <c r="I45" s="267">
        <f>IF(G45&gt;0,H45/G45*100,0)</f>
        <v>99.97026666666667</v>
      </c>
      <c r="J45" s="379">
        <f t="shared" si="7"/>
        <v>0.12204082153714746</v>
      </c>
    </row>
    <row r="46" spans="1:10" ht="24">
      <c r="A46" s="138" t="s">
        <v>27</v>
      </c>
      <c r="B46" s="355"/>
      <c r="C46" s="46">
        <v>412900</v>
      </c>
      <c r="D46" s="45" t="s">
        <v>475</v>
      </c>
      <c r="E46" s="267">
        <v>2000</v>
      </c>
      <c r="F46" s="267">
        <v>0</v>
      </c>
      <c r="G46" s="267">
        <f t="shared" si="8"/>
        <v>2000</v>
      </c>
      <c r="H46" s="267">
        <v>408.99</v>
      </c>
      <c r="I46" s="267">
        <f t="shared" si="6"/>
        <v>20.4495</v>
      </c>
      <c r="J46" s="379">
        <f t="shared" si="7"/>
        <v>0.0033285547303050066</v>
      </c>
    </row>
    <row r="47" spans="1:10" ht="12.75">
      <c r="A47" s="138" t="s">
        <v>27</v>
      </c>
      <c r="B47" s="355"/>
      <c r="C47" s="46">
        <v>412900</v>
      </c>
      <c r="D47" s="45" t="s">
        <v>150</v>
      </c>
      <c r="E47" s="267">
        <v>15000</v>
      </c>
      <c r="F47" s="267">
        <v>-15000</v>
      </c>
      <c r="G47" s="267">
        <f t="shared" si="8"/>
        <v>0</v>
      </c>
      <c r="H47" s="267">
        <v>0</v>
      </c>
      <c r="I47" s="267">
        <f t="shared" si="6"/>
        <v>0</v>
      </c>
      <c r="J47" s="379">
        <f t="shared" si="7"/>
        <v>0</v>
      </c>
    </row>
    <row r="48" spans="1:10" ht="12.75">
      <c r="A48" s="138"/>
      <c r="B48" s="355" t="s">
        <v>472</v>
      </c>
      <c r="C48" s="65"/>
      <c r="D48" s="81" t="s">
        <v>395</v>
      </c>
      <c r="E48" s="367">
        <f>SUM(E49)</f>
        <v>150000</v>
      </c>
      <c r="F48" s="367">
        <f>SUM(F49)</f>
        <v>0</v>
      </c>
      <c r="G48" s="367">
        <f>SUM(G49)</f>
        <v>150000</v>
      </c>
      <c r="H48" s="367">
        <f>SUM(H49)</f>
        <v>81660.84</v>
      </c>
      <c r="I48" s="367">
        <f t="shared" si="6"/>
        <v>54.44055999999999</v>
      </c>
      <c r="J48" s="378">
        <f t="shared" si="7"/>
        <v>0.6645946728836409</v>
      </c>
    </row>
    <row r="49" spans="1:10" ht="22.5" customHeight="1">
      <c r="A49" s="138" t="s">
        <v>27</v>
      </c>
      <c r="B49" s="355"/>
      <c r="C49" s="46">
        <v>419100</v>
      </c>
      <c r="D49" s="45" t="s">
        <v>474</v>
      </c>
      <c r="E49" s="268">
        <v>150000</v>
      </c>
      <c r="F49" s="268">
        <v>0</v>
      </c>
      <c r="G49" s="268">
        <f t="shared" si="8"/>
        <v>150000</v>
      </c>
      <c r="H49" s="268">
        <v>81660.84</v>
      </c>
      <c r="I49" s="267">
        <f t="shared" si="6"/>
        <v>54.44055999999999</v>
      </c>
      <c r="J49" s="379">
        <f t="shared" si="7"/>
        <v>0.6645946728836409</v>
      </c>
    </row>
    <row r="50" spans="1:10" ht="12.75">
      <c r="A50" s="138"/>
      <c r="B50" s="355" t="s">
        <v>473</v>
      </c>
      <c r="C50" s="65"/>
      <c r="D50" s="81" t="s">
        <v>188</v>
      </c>
      <c r="E50" s="367">
        <f>SUM(E51)</f>
        <v>110000</v>
      </c>
      <c r="F50" s="367">
        <f>SUM(F51)</f>
        <v>0</v>
      </c>
      <c r="G50" s="367">
        <f>SUM(G51)</f>
        <v>110000</v>
      </c>
      <c r="H50" s="367">
        <f>SUM(H51)</f>
        <v>1120</v>
      </c>
      <c r="I50" s="367">
        <f t="shared" si="6"/>
        <v>1.0181818181818183</v>
      </c>
      <c r="J50" s="378">
        <f t="shared" si="7"/>
        <v>0.009115091561998112</v>
      </c>
    </row>
    <row r="51" spans="1:10" ht="25.5" customHeight="1">
      <c r="A51" s="138" t="s">
        <v>27</v>
      </c>
      <c r="B51" s="353"/>
      <c r="C51" s="343">
        <v>513100</v>
      </c>
      <c r="D51" s="337" t="s">
        <v>266</v>
      </c>
      <c r="E51" s="320">
        <v>110000</v>
      </c>
      <c r="F51" s="320">
        <v>0</v>
      </c>
      <c r="G51" s="320">
        <f t="shared" si="8"/>
        <v>110000</v>
      </c>
      <c r="H51" s="320">
        <v>1120</v>
      </c>
      <c r="I51" s="320">
        <f t="shared" si="6"/>
        <v>1.0181818181818183</v>
      </c>
      <c r="J51" s="379">
        <f t="shared" si="7"/>
        <v>0.009115091561998112</v>
      </c>
    </row>
    <row r="52" spans="1:10" ht="27" customHeight="1">
      <c r="A52" s="380"/>
      <c r="B52" s="354"/>
      <c r="C52" s="549" t="s">
        <v>541</v>
      </c>
      <c r="D52" s="549"/>
      <c r="E52" s="331">
        <f>E43+E48+E50</f>
        <v>277000</v>
      </c>
      <c r="F52" s="331">
        <f>F43+F48+F50</f>
        <v>0</v>
      </c>
      <c r="G52" s="331">
        <f>G43+G48+G50</f>
        <v>277000</v>
      </c>
      <c r="H52" s="331">
        <f>H43+H48+H50</f>
        <v>98185.37</v>
      </c>
      <c r="I52" s="331">
        <f t="shared" si="6"/>
        <v>35.445981949458485</v>
      </c>
      <c r="J52" s="381">
        <f t="shared" si="7"/>
        <v>0.7990791407130915</v>
      </c>
    </row>
    <row r="53" spans="1:10" ht="9.75" customHeight="1">
      <c r="A53" s="556"/>
      <c r="B53" s="557"/>
      <c r="C53" s="545" t="s">
        <v>120</v>
      </c>
      <c r="D53" s="546"/>
      <c r="E53" s="176"/>
      <c r="F53" s="176"/>
      <c r="G53" s="176"/>
      <c r="H53" s="176"/>
      <c r="I53" s="176"/>
      <c r="J53" s="375"/>
    </row>
    <row r="54" spans="1:10" ht="9.75" customHeight="1">
      <c r="A54" s="556"/>
      <c r="B54" s="557"/>
      <c r="C54" s="545"/>
      <c r="D54" s="546"/>
      <c r="E54" s="177"/>
      <c r="F54" s="177"/>
      <c r="G54" s="177"/>
      <c r="H54" s="177"/>
      <c r="I54" s="177"/>
      <c r="J54" s="376"/>
    </row>
    <row r="55" spans="1:10" ht="19.5" customHeight="1">
      <c r="A55" s="556"/>
      <c r="B55" s="557"/>
      <c r="C55" s="545"/>
      <c r="D55" s="546"/>
      <c r="E55" s="178"/>
      <c r="F55" s="178"/>
      <c r="G55" s="178"/>
      <c r="H55" s="178"/>
      <c r="I55" s="178"/>
      <c r="J55" s="377"/>
    </row>
    <row r="56" spans="1:10" ht="14.25" customHeight="1">
      <c r="A56" s="138"/>
      <c r="B56" s="24">
        <v>412000</v>
      </c>
      <c r="C56" s="32"/>
      <c r="D56" s="33" t="s">
        <v>143</v>
      </c>
      <c r="E56" s="360">
        <f>SUM(E57:E60)</f>
        <v>26900</v>
      </c>
      <c r="F56" s="360">
        <f>SUM(F57:F60)</f>
        <v>0</v>
      </c>
      <c r="G56" s="360">
        <f>SUM(G57:G60)</f>
        <v>26900</v>
      </c>
      <c r="H56" s="360">
        <f>SUM(H57:H60)</f>
        <v>13398.010000000002</v>
      </c>
      <c r="I56" s="360">
        <f aca="true" t="shared" si="9" ref="I56:I65">IF(G56&gt;0,H56/G56*100,0)</f>
        <v>49.806728624535324</v>
      </c>
      <c r="J56" s="359">
        <f aca="true" t="shared" si="10" ref="J56:J65">H56/$H$494*100</f>
        <v>0.10903936419514851</v>
      </c>
    </row>
    <row r="57" spans="1:10" ht="12.75" customHeight="1">
      <c r="A57" s="138" t="s">
        <v>27</v>
      </c>
      <c r="B57" s="34"/>
      <c r="C57" s="18">
        <v>412700</v>
      </c>
      <c r="D57" s="34" t="s">
        <v>167</v>
      </c>
      <c r="E57" s="197">
        <v>2500</v>
      </c>
      <c r="F57" s="197">
        <v>0</v>
      </c>
      <c r="G57" s="197">
        <f aca="true" t="shared" si="11" ref="G57:G64">E57+F57</f>
        <v>2500</v>
      </c>
      <c r="H57" s="197">
        <v>0</v>
      </c>
      <c r="I57" s="209">
        <f t="shared" si="9"/>
        <v>0</v>
      </c>
      <c r="J57" s="291">
        <f t="shared" si="10"/>
        <v>0</v>
      </c>
    </row>
    <row r="58" spans="1:10" ht="12.75" customHeight="1">
      <c r="A58" s="138" t="s">
        <v>37</v>
      </c>
      <c r="B58" s="34"/>
      <c r="C58" s="18">
        <v>412700</v>
      </c>
      <c r="D58" s="34" t="s">
        <v>114</v>
      </c>
      <c r="E58" s="197">
        <v>12500</v>
      </c>
      <c r="F58" s="197">
        <v>0</v>
      </c>
      <c r="G58" s="197">
        <f t="shared" si="11"/>
        <v>12500</v>
      </c>
      <c r="H58" s="197">
        <v>6884.81</v>
      </c>
      <c r="I58" s="209">
        <f t="shared" si="9"/>
        <v>55.078480000000006</v>
      </c>
      <c r="J58" s="291">
        <f t="shared" si="10"/>
        <v>0.05603185137228592</v>
      </c>
    </row>
    <row r="59" spans="1:10" ht="12.75" customHeight="1">
      <c r="A59" s="138" t="s">
        <v>27</v>
      </c>
      <c r="B59" s="34"/>
      <c r="C59" s="18">
        <v>412900</v>
      </c>
      <c r="D59" s="31" t="s">
        <v>0</v>
      </c>
      <c r="E59" s="197">
        <v>400</v>
      </c>
      <c r="F59" s="197">
        <v>0</v>
      </c>
      <c r="G59" s="197">
        <f t="shared" si="11"/>
        <v>400</v>
      </c>
      <c r="H59" s="197">
        <v>214.85</v>
      </c>
      <c r="I59" s="209">
        <f t="shared" si="9"/>
        <v>53.7125</v>
      </c>
      <c r="J59" s="291">
        <f t="shared" si="10"/>
        <v>0.0017485512697279413</v>
      </c>
    </row>
    <row r="60" spans="1:10" ht="12.75" customHeight="1">
      <c r="A60" s="138" t="s">
        <v>27</v>
      </c>
      <c r="B60" s="34"/>
      <c r="C60" s="18">
        <v>412900</v>
      </c>
      <c r="D60" s="35" t="s">
        <v>207</v>
      </c>
      <c r="E60" s="197">
        <v>11500</v>
      </c>
      <c r="F60" s="197">
        <v>0</v>
      </c>
      <c r="G60" s="197">
        <f t="shared" si="11"/>
        <v>11500</v>
      </c>
      <c r="H60" s="197">
        <v>6298.35</v>
      </c>
      <c r="I60" s="209">
        <f t="shared" si="9"/>
        <v>54.768260869565225</v>
      </c>
      <c r="J60" s="291">
        <f t="shared" si="10"/>
        <v>0.051258961553134655</v>
      </c>
    </row>
    <row r="61" spans="1:10" ht="14.25" customHeight="1">
      <c r="A61" s="138"/>
      <c r="B61" s="34"/>
      <c r="C61" s="18"/>
      <c r="D61" s="47" t="s">
        <v>140</v>
      </c>
      <c r="E61" s="188">
        <f>SUM(E62:E64)</f>
        <v>18000</v>
      </c>
      <c r="F61" s="188">
        <f>SUM(F62:F64)</f>
        <v>0</v>
      </c>
      <c r="G61" s="188">
        <f>SUM(G62:G64)</f>
        <v>18000</v>
      </c>
      <c r="H61" s="188">
        <f>SUM(H62:H64)</f>
        <v>2161.66</v>
      </c>
      <c r="I61" s="188">
        <f t="shared" si="9"/>
        <v>12.00922222222222</v>
      </c>
      <c r="J61" s="317">
        <f t="shared" si="10"/>
        <v>0.01759261502313289</v>
      </c>
    </row>
    <row r="62" spans="1:10" ht="14.25" customHeight="1">
      <c r="A62" s="138" t="s">
        <v>40</v>
      </c>
      <c r="B62" s="34"/>
      <c r="C62" s="18">
        <v>412300</v>
      </c>
      <c r="D62" s="35" t="s">
        <v>278</v>
      </c>
      <c r="E62" s="197">
        <v>1000</v>
      </c>
      <c r="F62" s="197">
        <v>0</v>
      </c>
      <c r="G62" s="197">
        <f t="shared" si="11"/>
        <v>1000</v>
      </c>
      <c r="H62" s="197">
        <v>495</v>
      </c>
      <c r="I62" s="209">
        <f t="shared" si="9"/>
        <v>49.5</v>
      </c>
      <c r="J62" s="291">
        <f t="shared" si="10"/>
        <v>0.004028544931418808</v>
      </c>
    </row>
    <row r="63" spans="1:12" s="8" customFormat="1" ht="21" customHeight="1">
      <c r="A63" s="41" t="s">
        <v>40</v>
      </c>
      <c r="B63" s="48"/>
      <c r="C63" s="39">
        <v>412500</v>
      </c>
      <c r="D63" s="35" t="s">
        <v>262</v>
      </c>
      <c r="E63" s="197">
        <v>12000</v>
      </c>
      <c r="F63" s="197">
        <v>0</v>
      </c>
      <c r="G63" s="197">
        <f t="shared" si="11"/>
        <v>12000</v>
      </c>
      <c r="H63" s="197">
        <v>666.66</v>
      </c>
      <c r="I63" s="209">
        <f t="shared" si="9"/>
        <v>5.5555</v>
      </c>
      <c r="J63" s="291">
        <f t="shared" si="10"/>
        <v>0.005425595482787197</v>
      </c>
      <c r="K63" s="391"/>
      <c r="L63" s="401"/>
    </row>
    <row r="64" spans="1:10" ht="21.75" customHeight="1">
      <c r="A64" s="138" t="s">
        <v>40</v>
      </c>
      <c r="B64" s="34"/>
      <c r="C64" s="18">
        <v>412900</v>
      </c>
      <c r="D64" s="35" t="s">
        <v>263</v>
      </c>
      <c r="E64" s="197">
        <v>5000</v>
      </c>
      <c r="F64" s="197">
        <v>0</v>
      </c>
      <c r="G64" s="197">
        <f t="shared" si="11"/>
        <v>5000</v>
      </c>
      <c r="H64" s="197">
        <v>1000</v>
      </c>
      <c r="I64" s="209">
        <f t="shared" si="9"/>
        <v>20</v>
      </c>
      <c r="J64" s="291">
        <f t="shared" si="10"/>
        <v>0.008138474608926884</v>
      </c>
    </row>
    <row r="65" spans="1:10" ht="27.75" customHeight="1">
      <c r="A65" s="558"/>
      <c r="B65" s="559"/>
      <c r="C65" s="549" t="s">
        <v>86</v>
      </c>
      <c r="D65" s="550"/>
      <c r="E65" s="72">
        <f>E56+E61</f>
        <v>44900</v>
      </c>
      <c r="F65" s="72">
        <f>F56+F61</f>
        <v>0</v>
      </c>
      <c r="G65" s="72">
        <f>G56+G61</f>
        <v>44900</v>
      </c>
      <c r="H65" s="72">
        <f>H56+H61</f>
        <v>15559.670000000002</v>
      </c>
      <c r="I65" s="331">
        <f t="shared" si="9"/>
        <v>34.65405345211582</v>
      </c>
      <c r="J65" s="327">
        <f t="shared" si="10"/>
        <v>0.1266319792182814</v>
      </c>
    </row>
    <row r="66" spans="1:10" ht="9.75" customHeight="1">
      <c r="A66" s="556"/>
      <c r="B66" s="557"/>
      <c r="C66" s="545" t="s">
        <v>121</v>
      </c>
      <c r="D66" s="546"/>
      <c r="E66" s="176"/>
      <c r="F66" s="176"/>
      <c r="G66" s="176"/>
      <c r="H66" s="176"/>
      <c r="I66" s="176"/>
      <c r="J66" s="375"/>
    </row>
    <row r="67" spans="1:10" ht="9.75" customHeight="1">
      <c r="A67" s="556"/>
      <c r="B67" s="557"/>
      <c r="C67" s="545"/>
      <c r="D67" s="546"/>
      <c r="E67" s="177"/>
      <c r="F67" s="177"/>
      <c r="G67" s="177"/>
      <c r="H67" s="177"/>
      <c r="I67" s="177"/>
      <c r="J67" s="376"/>
    </row>
    <row r="68" spans="1:10" ht="19.5" customHeight="1">
      <c r="A68" s="556"/>
      <c r="B68" s="557"/>
      <c r="C68" s="545"/>
      <c r="D68" s="546"/>
      <c r="E68" s="178"/>
      <c r="F68" s="178"/>
      <c r="G68" s="178"/>
      <c r="H68" s="178"/>
      <c r="I68" s="178"/>
      <c r="J68" s="377"/>
    </row>
    <row r="69" spans="1:10" ht="24" customHeight="1">
      <c r="A69" s="138"/>
      <c r="B69" s="24">
        <v>411000</v>
      </c>
      <c r="C69" s="25"/>
      <c r="D69" s="27" t="s">
        <v>320</v>
      </c>
      <c r="E69" s="358">
        <f>SUM(E70:E73)</f>
        <v>2967500</v>
      </c>
      <c r="F69" s="358">
        <f>SUM(F70:F73)</f>
        <v>0</v>
      </c>
      <c r="G69" s="358">
        <f>SUM(G70:G73)</f>
        <v>2967500</v>
      </c>
      <c r="H69" s="358">
        <f>SUM(H70:H73)</f>
        <v>1542420.3900000001</v>
      </c>
      <c r="I69" s="360">
        <f aca="true" t="shared" si="12" ref="I69:I82">IF(G69&gt;0,H69/G69*100,0)</f>
        <v>51.97709823083404</v>
      </c>
      <c r="J69" s="359">
        <f aca="true" t="shared" si="13" ref="J69:J82">H69/$H$494*100</f>
        <v>12.552949180306106</v>
      </c>
    </row>
    <row r="70" spans="1:10" ht="12.75" customHeight="1">
      <c r="A70" s="138" t="s">
        <v>27</v>
      </c>
      <c r="B70" s="34"/>
      <c r="C70" s="18">
        <v>411100</v>
      </c>
      <c r="D70" s="28" t="s">
        <v>408</v>
      </c>
      <c r="E70" s="197">
        <v>2198000</v>
      </c>
      <c r="F70" s="197">
        <v>0</v>
      </c>
      <c r="G70" s="197">
        <f aca="true" t="shared" si="14" ref="G70:G81">E70+F70</f>
        <v>2198000</v>
      </c>
      <c r="H70" s="197">
        <v>1294155.43</v>
      </c>
      <c r="I70" s="209">
        <f t="shared" si="12"/>
        <v>58.878772975432206</v>
      </c>
      <c r="J70" s="291">
        <f t="shared" si="13"/>
        <v>10.532451107059854</v>
      </c>
    </row>
    <row r="71" spans="1:10" ht="26.25" customHeight="1">
      <c r="A71" s="138" t="s">
        <v>27</v>
      </c>
      <c r="B71" s="34"/>
      <c r="C71" s="18">
        <v>411200</v>
      </c>
      <c r="D71" s="28" t="s">
        <v>415</v>
      </c>
      <c r="E71" s="197">
        <v>535000</v>
      </c>
      <c r="F71" s="197">
        <v>0</v>
      </c>
      <c r="G71" s="197">
        <f t="shared" si="14"/>
        <v>535000</v>
      </c>
      <c r="H71" s="197">
        <v>213613.23</v>
      </c>
      <c r="I71" s="209">
        <f t="shared" si="12"/>
        <v>39.92770654205608</v>
      </c>
      <c r="J71" s="291">
        <f t="shared" si="13"/>
        <v>1.738485848485859</v>
      </c>
    </row>
    <row r="72" spans="1:10" ht="24" customHeight="1">
      <c r="A72" s="138" t="s">
        <v>27</v>
      </c>
      <c r="B72" s="34"/>
      <c r="C72" s="18">
        <v>411300</v>
      </c>
      <c r="D72" s="28" t="s">
        <v>409</v>
      </c>
      <c r="E72" s="197">
        <v>30000</v>
      </c>
      <c r="F72" s="197">
        <v>0</v>
      </c>
      <c r="G72" s="197">
        <f t="shared" si="14"/>
        <v>30000</v>
      </c>
      <c r="H72" s="197">
        <v>18225.11</v>
      </c>
      <c r="I72" s="209">
        <f t="shared" si="12"/>
        <v>60.750366666666665</v>
      </c>
      <c r="J72" s="291">
        <f t="shared" si="13"/>
        <v>0.14832459497989947</v>
      </c>
    </row>
    <row r="73" spans="1:10" ht="12.75" customHeight="1">
      <c r="A73" s="138" t="s">
        <v>27</v>
      </c>
      <c r="B73" s="34"/>
      <c r="C73" s="18">
        <v>411400</v>
      </c>
      <c r="D73" s="30" t="s">
        <v>410</v>
      </c>
      <c r="E73" s="197">
        <v>204500</v>
      </c>
      <c r="F73" s="197">
        <v>0</v>
      </c>
      <c r="G73" s="197">
        <f t="shared" si="14"/>
        <v>204500</v>
      </c>
      <c r="H73" s="197">
        <v>16426.62</v>
      </c>
      <c r="I73" s="209">
        <f t="shared" si="12"/>
        <v>8.032577017114914</v>
      </c>
      <c r="J73" s="291">
        <f t="shared" si="13"/>
        <v>0.13368762978049054</v>
      </c>
    </row>
    <row r="74" spans="1:10" ht="14.25" customHeight="1">
      <c r="A74" s="138"/>
      <c r="B74" s="24">
        <v>412000</v>
      </c>
      <c r="C74" s="18"/>
      <c r="D74" s="33" t="s">
        <v>143</v>
      </c>
      <c r="E74" s="188">
        <f>SUM(E75:E79)</f>
        <v>13000</v>
      </c>
      <c r="F74" s="188">
        <f>SUM(F75:F79)</f>
        <v>0</v>
      </c>
      <c r="G74" s="188">
        <f>SUM(G75:G79)</f>
        <v>13000</v>
      </c>
      <c r="H74" s="188">
        <f>SUM(H75:H79)</f>
        <v>2832.75</v>
      </c>
      <c r="I74" s="188">
        <f t="shared" si="12"/>
        <v>21.790384615384614</v>
      </c>
      <c r="J74" s="317">
        <f t="shared" si="13"/>
        <v>0.023054263948437636</v>
      </c>
    </row>
    <row r="75" spans="1:10" ht="12.75" customHeight="1">
      <c r="A75" s="138" t="s">
        <v>27</v>
      </c>
      <c r="B75" s="34"/>
      <c r="C75" s="18">
        <v>412700</v>
      </c>
      <c r="D75" s="34" t="s">
        <v>115</v>
      </c>
      <c r="E75" s="197">
        <v>3800</v>
      </c>
      <c r="F75" s="197">
        <v>0</v>
      </c>
      <c r="G75" s="197">
        <f t="shared" si="14"/>
        <v>3800</v>
      </c>
      <c r="H75" s="197">
        <v>2117.79</v>
      </c>
      <c r="I75" s="209">
        <f t="shared" si="12"/>
        <v>55.731315789473676</v>
      </c>
      <c r="J75" s="291">
        <f t="shared" si="13"/>
        <v>0.01723558014203927</v>
      </c>
    </row>
    <row r="76" spans="1:10" ht="14.25" customHeight="1">
      <c r="A76" s="138" t="s">
        <v>27</v>
      </c>
      <c r="B76" s="34"/>
      <c r="C76" s="18">
        <v>412700</v>
      </c>
      <c r="D76" s="31" t="s">
        <v>169</v>
      </c>
      <c r="E76" s="197">
        <v>7300</v>
      </c>
      <c r="F76" s="197">
        <v>0</v>
      </c>
      <c r="G76" s="197">
        <f t="shared" si="14"/>
        <v>7300</v>
      </c>
      <c r="H76" s="197">
        <v>0</v>
      </c>
      <c r="I76" s="209">
        <f t="shared" si="12"/>
        <v>0</v>
      </c>
      <c r="J76" s="291">
        <f t="shared" si="13"/>
        <v>0</v>
      </c>
    </row>
    <row r="77" spans="1:10" ht="12.75" customHeight="1">
      <c r="A77" s="138" t="s">
        <v>27</v>
      </c>
      <c r="B77" s="34"/>
      <c r="C77" s="18">
        <v>412900</v>
      </c>
      <c r="D77" s="31" t="s">
        <v>0</v>
      </c>
      <c r="E77" s="197">
        <v>400</v>
      </c>
      <c r="F77" s="197">
        <v>0</v>
      </c>
      <c r="G77" s="197">
        <f t="shared" si="14"/>
        <v>400</v>
      </c>
      <c r="H77" s="197">
        <v>154.96</v>
      </c>
      <c r="I77" s="209">
        <f t="shared" si="12"/>
        <v>38.74</v>
      </c>
      <c r="J77" s="291">
        <f t="shared" si="13"/>
        <v>0.0012611380253993102</v>
      </c>
    </row>
    <row r="78" spans="1:10" ht="12.75" customHeight="1">
      <c r="A78" s="138" t="s">
        <v>27</v>
      </c>
      <c r="B78" s="34"/>
      <c r="C78" s="18">
        <v>412900</v>
      </c>
      <c r="D78" s="31" t="s">
        <v>168</v>
      </c>
      <c r="E78" s="197">
        <v>1500</v>
      </c>
      <c r="F78" s="197">
        <v>0</v>
      </c>
      <c r="G78" s="197">
        <f t="shared" si="14"/>
        <v>1500</v>
      </c>
      <c r="H78" s="197">
        <v>560</v>
      </c>
      <c r="I78" s="209">
        <f t="shared" si="12"/>
        <v>37.333333333333336</v>
      </c>
      <c r="J78" s="291">
        <f t="shared" si="13"/>
        <v>0.004557545780999056</v>
      </c>
    </row>
    <row r="79" spans="1:10" ht="12.75" customHeight="1" hidden="1">
      <c r="A79" s="138" t="s">
        <v>27</v>
      </c>
      <c r="B79" s="34"/>
      <c r="C79" s="18">
        <v>412900</v>
      </c>
      <c r="D79" s="31" t="s">
        <v>325</v>
      </c>
      <c r="E79" s="71"/>
      <c r="F79" s="197"/>
      <c r="G79" s="197">
        <f t="shared" si="14"/>
        <v>0</v>
      </c>
      <c r="H79" s="197"/>
      <c r="I79" s="188">
        <f t="shared" si="12"/>
        <v>0</v>
      </c>
      <c r="J79" s="317">
        <f t="shared" si="13"/>
        <v>0</v>
      </c>
    </row>
    <row r="80" spans="1:10" ht="26.25" customHeight="1">
      <c r="A80" s="206"/>
      <c r="B80" s="24">
        <v>638000</v>
      </c>
      <c r="C80" s="18"/>
      <c r="D80" s="33" t="s">
        <v>411</v>
      </c>
      <c r="E80" s="188">
        <f>SUM(E81)</f>
        <v>65000</v>
      </c>
      <c r="F80" s="188">
        <f>SUM(F81)</f>
        <v>0</v>
      </c>
      <c r="G80" s="188">
        <f>SUM(G81)</f>
        <v>65000</v>
      </c>
      <c r="H80" s="188">
        <f>SUM(H81)</f>
        <v>24700.2</v>
      </c>
      <c r="I80" s="188">
        <f t="shared" si="12"/>
        <v>38.00030769230769</v>
      </c>
      <c r="J80" s="317">
        <f t="shared" si="13"/>
        <v>0.20102195053541583</v>
      </c>
    </row>
    <row r="81" spans="1:10" ht="35.25" customHeight="1">
      <c r="A81" s="138"/>
      <c r="B81" s="34"/>
      <c r="C81" s="18">
        <v>638100</v>
      </c>
      <c r="D81" s="31" t="s">
        <v>412</v>
      </c>
      <c r="E81" s="71">
        <v>65000</v>
      </c>
      <c r="F81" s="197">
        <v>0</v>
      </c>
      <c r="G81" s="197">
        <f t="shared" si="14"/>
        <v>65000</v>
      </c>
      <c r="H81" s="197">
        <v>24700.2</v>
      </c>
      <c r="I81" s="209">
        <f t="shared" si="12"/>
        <v>38.00030769230769</v>
      </c>
      <c r="J81" s="291">
        <f t="shared" si="13"/>
        <v>0.20102195053541583</v>
      </c>
    </row>
    <row r="82" spans="1:215" ht="30" customHeight="1">
      <c r="A82" s="556"/>
      <c r="B82" s="557"/>
      <c r="C82" s="549" t="s">
        <v>83</v>
      </c>
      <c r="D82" s="550"/>
      <c r="E82" s="72">
        <f>E69+E74+E80</f>
        <v>3045500</v>
      </c>
      <c r="F82" s="72">
        <f>F69+F74+F80</f>
        <v>0</v>
      </c>
      <c r="G82" s="72">
        <f>G69+G74+G80</f>
        <v>3045500</v>
      </c>
      <c r="H82" s="72">
        <f>H69+H74+H80</f>
        <v>1569953.34</v>
      </c>
      <c r="I82" s="326">
        <f t="shared" si="12"/>
        <v>51.549937284518144</v>
      </c>
      <c r="J82" s="327">
        <f t="shared" si="13"/>
        <v>12.777025394789959</v>
      </c>
      <c r="K82" s="390"/>
      <c r="L82" s="399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</row>
    <row r="83" spans="1:215" s="104" customFormat="1" ht="9.75" customHeight="1">
      <c r="A83" s="554"/>
      <c r="B83" s="555"/>
      <c r="C83" s="545" t="s">
        <v>122</v>
      </c>
      <c r="D83" s="546"/>
      <c r="E83" s="176"/>
      <c r="F83" s="176"/>
      <c r="G83" s="176"/>
      <c r="H83" s="176"/>
      <c r="I83" s="176"/>
      <c r="J83" s="375"/>
      <c r="K83" s="390"/>
      <c r="L83" s="399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</row>
    <row r="84" spans="1:12" s="61" customFormat="1" ht="9.75" customHeight="1">
      <c r="A84" s="554"/>
      <c r="B84" s="555"/>
      <c r="C84" s="545"/>
      <c r="D84" s="546"/>
      <c r="E84" s="177"/>
      <c r="F84" s="177"/>
      <c r="G84" s="177"/>
      <c r="H84" s="177"/>
      <c r="I84" s="177"/>
      <c r="J84" s="376"/>
      <c r="K84" s="390"/>
      <c r="L84" s="399"/>
    </row>
    <row r="85" spans="1:12" s="61" customFormat="1" ht="9.75" customHeight="1">
      <c r="A85" s="554"/>
      <c r="B85" s="555"/>
      <c r="C85" s="545"/>
      <c r="D85" s="546"/>
      <c r="E85" s="177"/>
      <c r="F85" s="177"/>
      <c r="G85" s="177"/>
      <c r="H85" s="177"/>
      <c r="I85" s="177"/>
      <c r="J85" s="376"/>
      <c r="K85" s="390"/>
      <c r="L85" s="399"/>
    </row>
    <row r="86" spans="1:215" s="105" customFormat="1" ht="19.5" customHeight="1">
      <c r="A86" s="554"/>
      <c r="B86" s="555"/>
      <c r="C86" s="545"/>
      <c r="D86" s="546"/>
      <c r="E86" s="178"/>
      <c r="F86" s="178"/>
      <c r="G86" s="178"/>
      <c r="H86" s="178"/>
      <c r="I86" s="178"/>
      <c r="J86" s="377"/>
      <c r="K86" s="390"/>
      <c r="L86" s="399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</row>
    <row r="87" spans="1:215" ht="14.25" customHeight="1">
      <c r="A87" s="138"/>
      <c r="B87" s="24">
        <v>412000</v>
      </c>
      <c r="C87" s="18"/>
      <c r="D87" s="33" t="s">
        <v>143</v>
      </c>
      <c r="E87" s="360">
        <f>SUM(E88:E89)</f>
        <v>60400</v>
      </c>
      <c r="F87" s="360">
        <f>SUM(F88:F89)</f>
        <v>0</v>
      </c>
      <c r="G87" s="360">
        <f>SUM(G88:G89)</f>
        <v>60400</v>
      </c>
      <c r="H87" s="360">
        <f>SUM(H88:H89)</f>
        <v>30091.8</v>
      </c>
      <c r="I87" s="360">
        <f aca="true" t="shared" si="15" ref="I87:I135">IF(G87&gt;0,H87/G87*100,0)</f>
        <v>49.82086092715232</v>
      </c>
      <c r="J87" s="359">
        <f aca="true" t="shared" si="16" ref="J87:J118">H87/$H$494*100</f>
        <v>0.24490135023690604</v>
      </c>
      <c r="K87" s="390"/>
      <c r="L87" s="399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</row>
    <row r="88" spans="1:10" ht="13.5" customHeight="1">
      <c r="A88" s="138" t="s">
        <v>27</v>
      </c>
      <c r="B88" s="32"/>
      <c r="C88" s="34">
        <v>412700</v>
      </c>
      <c r="D88" s="31" t="s">
        <v>104</v>
      </c>
      <c r="E88" s="197">
        <v>60000</v>
      </c>
      <c r="F88" s="197">
        <v>0</v>
      </c>
      <c r="G88" s="197">
        <f aca="true" t="shared" si="17" ref="G88:G134">E88+F88</f>
        <v>60000</v>
      </c>
      <c r="H88" s="197">
        <v>29998.8</v>
      </c>
      <c r="I88" s="209">
        <f t="shared" si="15"/>
        <v>49.998</v>
      </c>
      <c r="J88" s="291">
        <f t="shared" si="16"/>
        <v>0.24414447209827583</v>
      </c>
    </row>
    <row r="89" spans="1:10" ht="12.75" customHeight="1">
      <c r="A89" s="138" t="s">
        <v>27</v>
      </c>
      <c r="B89" s="34"/>
      <c r="C89" s="18">
        <v>412900</v>
      </c>
      <c r="D89" s="31" t="s">
        <v>28</v>
      </c>
      <c r="E89" s="197">
        <v>400</v>
      </c>
      <c r="F89" s="197">
        <v>0</v>
      </c>
      <c r="G89" s="197">
        <f t="shared" si="17"/>
        <v>400</v>
      </c>
      <c r="H89" s="197">
        <v>93</v>
      </c>
      <c r="I89" s="209">
        <f t="shared" si="15"/>
        <v>23.25</v>
      </c>
      <c r="J89" s="291">
        <f t="shared" si="16"/>
        <v>0.0007568781386302003</v>
      </c>
    </row>
    <row r="90" spans="1:10" ht="14.25" customHeight="1">
      <c r="A90" s="138"/>
      <c r="B90" s="24">
        <v>415000</v>
      </c>
      <c r="C90" s="34"/>
      <c r="D90" s="33" t="s">
        <v>157</v>
      </c>
      <c r="E90" s="251">
        <f>SUM(E91:E121)</f>
        <v>690000</v>
      </c>
      <c r="F90" s="251">
        <f>SUM(F91:F121)</f>
        <v>50980</v>
      </c>
      <c r="G90" s="251">
        <f>SUM(G91:G121)</f>
        <v>740980</v>
      </c>
      <c r="H90" s="251">
        <f>SUM(H91:H121)</f>
        <v>393776.27</v>
      </c>
      <c r="I90" s="188">
        <f t="shared" si="15"/>
        <v>53.142631380064245</v>
      </c>
      <c r="J90" s="317">
        <f t="shared" si="16"/>
        <v>3.2047381749929373</v>
      </c>
    </row>
    <row r="91" spans="1:10" ht="12.75" customHeight="1">
      <c r="A91" s="138" t="s">
        <v>31</v>
      </c>
      <c r="B91" s="34"/>
      <c r="C91" s="63">
        <v>415200</v>
      </c>
      <c r="D91" s="50" t="s">
        <v>230</v>
      </c>
      <c r="E91" s="272">
        <v>4000</v>
      </c>
      <c r="F91" s="272">
        <v>0</v>
      </c>
      <c r="G91" s="272">
        <f t="shared" si="17"/>
        <v>4000</v>
      </c>
      <c r="H91" s="185">
        <v>2000</v>
      </c>
      <c r="I91" s="209">
        <f t="shared" si="15"/>
        <v>50</v>
      </c>
      <c r="J91" s="291">
        <f t="shared" si="16"/>
        <v>0.01627694921785377</v>
      </c>
    </row>
    <row r="92" spans="1:12" ht="12.75" customHeight="1">
      <c r="A92" s="138" t="s">
        <v>33</v>
      </c>
      <c r="B92" s="34"/>
      <c r="C92" s="63">
        <v>415200</v>
      </c>
      <c r="D92" s="31" t="s">
        <v>34</v>
      </c>
      <c r="E92" s="185">
        <v>35000</v>
      </c>
      <c r="F92" s="185">
        <v>0</v>
      </c>
      <c r="G92" s="185">
        <f t="shared" si="17"/>
        <v>35000</v>
      </c>
      <c r="H92" s="185">
        <v>13998</v>
      </c>
      <c r="I92" s="209">
        <f t="shared" si="15"/>
        <v>39.994285714285716</v>
      </c>
      <c r="J92" s="291">
        <f t="shared" si="16"/>
        <v>0.11392236757575855</v>
      </c>
      <c r="L92" s="478"/>
    </row>
    <row r="93" spans="1:10" ht="12.75" customHeight="1">
      <c r="A93" s="138" t="s">
        <v>33</v>
      </c>
      <c r="B93" s="34"/>
      <c r="C93" s="63">
        <v>415200</v>
      </c>
      <c r="D93" s="31" t="s">
        <v>369</v>
      </c>
      <c r="E93" s="185">
        <v>0</v>
      </c>
      <c r="F93" s="185">
        <v>800</v>
      </c>
      <c r="G93" s="185">
        <f t="shared" si="17"/>
        <v>800</v>
      </c>
      <c r="H93" s="185">
        <v>800</v>
      </c>
      <c r="I93" s="209">
        <f t="shared" si="15"/>
        <v>100</v>
      </c>
      <c r="J93" s="291">
        <f t="shared" si="16"/>
        <v>0.006510779687141508</v>
      </c>
    </row>
    <row r="94" spans="1:12" ht="12.75" customHeight="1">
      <c r="A94" s="138" t="s">
        <v>35</v>
      </c>
      <c r="B94" s="34"/>
      <c r="C94" s="63">
        <v>415200</v>
      </c>
      <c r="D94" s="35" t="s">
        <v>290</v>
      </c>
      <c r="E94" s="185">
        <v>210000</v>
      </c>
      <c r="F94" s="185">
        <v>0</v>
      </c>
      <c r="G94" s="185">
        <f t="shared" si="17"/>
        <v>210000</v>
      </c>
      <c r="H94" s="185">
        <v>116103</v>
      </c>
      <c r="I94" s="209">
        <f t="shared" si="15"/>
        <v>55.287142857142854</v>
      </c>
      <c r="J94" s="291">
        <f t="shared" si="16"/>
        <v>0.9449013175202381</v>
      </c>
      <c r="K94" s="474"/>
      <c r="L94" s="478"/>
    </row>
    <row r="95" spans="1:10" ht="15" customHeight="1">
      <c r="A95" s="138" t="s">
        <v>35</v>
      </c>
      <c r="B95" s="34"/>
      <c r="C95" s="63">
        <v>415200</v>
      </c>
      <c r="D95" s="35" t="s">
        <v>291</v>
      </c>
      <c r="E95" s="185">
        <v>0</v>
      </c>
      <c r="F95" s="185">
        <v>22380</v>
      </c>
      <c r="G95" s="185">
        <f t="shared" si="17"/>
        <v>22380</v>
      </c>
      <c r="H95" s="185">
        <v>22380</v>
      </c>
      <c r="I95" s="209">
        <f t="shared" si="15"/>
        <v>100</v>
      </c>
      <c r="J95" s="291">
        <f t="shared" si="16"/>
        <v>0.1821390617477837</v>
      </c>
    </row>
    <row r="96" spans="1:10" ht="23.25" customHeight="1">
      <c r="A96" s="138" t="s">
        <v>36</v>
      </c>
      <c r="B96" s="34"/>
      <c r="C96" s="63">
        <v>415200</v>
      </c>
      <c r="D96" s="31" t="s">
        <v>116</v>
      </c>
      <c r="E96" s="185">
        <v>22000</v>
      </c>
      <c r="F96" s="185">
        <v>10000</v>
      </c>
      <c r="G96" s="185">
        <f t="shared" si="17"/>
        <v>32000</v>
      </c>
      <c r="H96" s="185">
        <v>23000</v>
      </c>
      <c r="I96" s="209">
        <f t="shared" si="15"/>
        <v>71.875</v>
      </c>
      <c r="J96" s="291">
        <f t="shared" si="16"/>
        <v>0.18718491600531836</v>
      </c>
    </row>
    <row r="97" spans="1:10" ht="25.5" customHeight="1">
      <c r="A97" s="138" t="s">
        <v>36</v>
      </c>
      <c r="B97" s="34"/>
      <c r="C97" s="63">
        <v>415200</v>
      </c>
      <c r="D97" s="31" t="s">
        <v>271</v>
      </c>
      <c r="E97" s="185">
        <v>0</v>
      </c>
      <c r="F97" s="185">
        <v>8300</v>
      </c>
      <c r="G97" s="185">
        <f t="shared" si="17"/>
        <v>8300</v>
      </c>
      <c r="H97" s="185">
        <v>8300</v>
      </c>
      <c r="I97" s="209">
        <f t="shared" si="15"/>
        <v>100</v>
      </c>
      <c r="J97" s="291">
        <f t="shared" si="16"/>
        <v>0.06754933925409315</v>
      </c>
    </row>
    <row r="98" spans="1:10" ht="13.5" customHeight="1">
      <c r="A98" s="41" t="s">
        <v>33</v>
      </c>
      <c r="B98" s="34"/>
      <c r="C98" s="63">
        <v>415200</v>
      </c>
      <c r="D98" s="31" t="s">
        <v>436</v>
      </c>
      <c r="E98" s="185">
        <v>8000</v>
      </c>
      <c r="F98" s="185">
        <v>0</v>
      </c>
      <c r="G98" s="185">
        <f t="shared" si="17"/>
        <v>8000</v>
      </c>
      <c r="H98" s="185">
        <v>2000</v>
      </c>
      <c r="I98" s="209">
        <f t="shared" si="15"/>
        <v>25</v>
      </c>
      <c r="J98" s="291">
        <f t="shared" si="16"/>
        <v>0.01627694921785377</v>
      </c>
    </row>
    <row r="99" spans="1:10" ht="13.5" customHeight="1" hidden="1">
      <c r="A99" s="41" t="s">
        <v>33</v>
      </c>
      <c r="B99" s="34"/>
      <c r="C99" s="63">
        <v>415200</v>
      </c>
      <c r="D99" s="31" t="s">
        <v>515</v>
      </c>
      <c r="E99" s="185">
        <v>0</v>
      </c>
      <c r="F99" s="185">
        <v>0</v>
      </c>
      <c r="G99" s="185">
        <f t="shared" si="17"/>
        <v>0</v>
      </c>
      <c r="H99" s="185"/>
      <c r="I99" s="209">
        <f t="shared" si="15"/>
        <v>0</v>
      </c>
      <c r="J99" s="291">
        <f t="shared" si="16"/>
        <v>0</v>
      </c>
    </row>
    <row r="100" spans="1:12" ht="13.5" customHeight="1">
      <c r="A100" s="41" t="s">
        <v>33</v>
      </c>
      <c r="B100" s="34"/>
      <c r="C100" s="63">
        <v>415200</v>
      </c>
      <c r="D100" s="31" t="s">
        <v>438</v>
      </c>
      <c r="E100" s="185">
        <v>6000</v>
      </c>
      <c r="F100" s="185">
        <v>0</v>
      </c>
      <c r="G100" s="185">
        <f t="shared" si="17"/>
        <v>6000</v>
      </c>
      <c r="H100" s="185">
        <v>2400</v>
      </c>
      <c r="I100" s="209">
        <f t="shared" si="15"/>
        <v>40</v>
      </c>
      <c r="J100" s="291">
        <f t="shared" si="16"/>
        <v>0.019532339061424524</v>
      </c>
      <c r="L100" s="478"/>
    </row>
    <row r="101" spans="1:10" ht="13.5" customHeight="1">
      <c r="A101" s="41" t="s">
        <v>439</v>
      </c>
      <c r="B101" s="34"/>
      <c r="C101" s="63">
        <v>415200</v>
      </c>
      <c r="D101" s="31" t="s">
        <v>437</v>
      </c>
      <c r="E101" s="185">
        <v>6000</v>
      </c>
      <c r="F101" s="185">
        <v>0</v>
      </c>
      <c r="G101" s="185">
        <f t="shared" si="17"/>
        <v>6000</v>
      </c>
      <c r="H101" s="185">
        <v>2400</v>
      </c>
      <c r="I101" s="209">
        <f t="shared" si="15"/>
        <v>40</v>
      </c>
      <c r="J101" s="291">
        <f t="shared" si="16"/>
        <v>0.019532339061424524</v>
      </c>
    </row>
    <row r="102" spans="1:10" ht="12.75" customHeight="1">
      <c r="A102" s="138" t="s">
        <v>36</v>
      </c>
      <c r="B102" s="34"/>
      <c r="C102" s="63">
        <v>415200</v>
      </c>
      <c r="D102" s="31" t="s">
        <v>117</v>
      </c>
      <c r="E102" s="185">
        <v>20000</v>
      </c>
      <c r="F102" s="185">
        <v>0</v>
      </c>
      <c r="G102" s="185">
        <f t="shared" si="17"/>
        <v>20000</v>
      </c>
      <c r="H102" s="185">
        <v>10000</v>
      </c>
      <c r="I102" s="209">
        <f t="shared" si="15"/>
        <v>50</v>
      </c>
      <c r="J102" s="291">
        <f t="shared" si="16"/>
        <v>0.08138474608926885</v>
      </c>
    </row>
    <row r="103" spans="1:10" ht="22.5" customHeight="1">
      <c r="A103" s="138" t="s">
        <v>36</v>
      </c>
      <c r="B103" s="34"/>
      <c r="C103" s="63">
        <v>415200</v>
      </c>
      <c r="D103" s="31" t="s">
        <v>270</v>
      </c>
      <c r="E103" s="185">
        <v>0</v>
      </c>
      <c r="F103" s="185">
        <v>2400</v>
      </c>
      <c r="G103" s="185">
        <f t="shared" si="17"/>
        <v>2400</v>
      </c>
      <c r="H103" s="185">
        <v>2400</v>
      </c>
      <c r="I103" s="209">
        <f t="shared" si="15"/>
        <v>100</v>
      </c>
      <c r="J103" s="291">
        <f t="shared" si="16"/>
        <v>0.019532339061424524</v>
      </c>
    </row>
    <row r="104" spans="1:10" ht="24">
      <c r="A104" s="138" t="s">
        <v>36</v>
      </c>
      <c r="B104" s="34"/>
      <c r="C104" s="63">
        <v>415200</v>
      </c>
      <c r="D104" s="31" t="s">
        <v>336</v>
      </c>
      <c r="E104" s="185">
        <v>10000</v>
      </c>
      <c r="F104" s="185">
        <v>0</v>
      </c>
      <c r="G104" s="185">
        <f t="shared" si="17"/>
        <v>10000</v>
      </c>
      <c r="H104" s="185">
        <v>0</v>
      </c>
      <c r="I104" s="209">
        <f t="shared" si="15"/>
        <v>0</v>
      </c>
      <c r="J104" s="291">
        <f t="shared" si="16"/>
        <v>0</v>
      </c>
    </row>
    <row r="105" spans="1:10" ht="24" hidden="1">
      <c r="A105" s="138" t="s">
        <v>36</v>
      </c>
      <c r="B105" s="34"/>
      <c r="C105" s="63">
        <v>415200</v>
      </c>
      <c r="D105" s="31" t="s">
        <v>498</v>
      </c>
      <c r="E105" s="185">
        <v>0</v>
      </c>
      <c r="F105" s="185"/>
      <c r="G105" s="185">
        <f t="shared" si="17"/>
        <v>0</v>
      </c>
      <c r="H105" s="185"/>
      <c r="I105" s="209">
        <f t="shared" si="15"/>
        <v>0</v>
      </c>
      <c r="J105" s="291">
        <f t="shared" si="16"/>
        <v>0</v>
      </c>
    </row>
    <row r="106" spans="1:10" ht="12.75" customHeight="1">
      <c r="A106" s="138" t="s">
        <v>36</v>
      </c>
      <c r="B106" s="34"/>
      <c r="C106" s="63">
        <v>415200</v>
      </c>
      <c r="D106" s="31" t="s">
        <v>100</v>
      </c>
      <c r="E106" s="185">
        <v>30000</v>
      </c>
      <c r="F106" s="185">
        <v>0</v>
      </c>
      <c r="G106" s="185">
        <f t="shared" si="17"/>
        <v>30000</v>
      </c>
      <c r="H106" s="185">
        <v>12000</v>
      </c>
      <c r="I106" s="209">
        <f t="shared" si="15"/>
        <v>40</v>
      </c>
      <c r="J106" s="291">
        <f t="shared" si="16"/>
        <v>0.09766169530712261</v>
      </c>
    </row>
    <row r="107" spans="1:10" ht="15.75" customHeight="1">
      <c r="A107" s="138" t="s">
        <v>36</v>
      </c>
      <c r="B107" s="34"/>
      <c r="C107" s="63">
        <v>415200</v>
      </c>
      <c r="D107" s="31" t="s">
        <v>460</v>
      </c>
      <c r="E107" s="185">
        <v>0</v>
      </c>
      <c r="F107" s="185">
        <v>3500</v>
      </c>
      <c r="G107" s="185">
        <f t="shared" si="17"/>
        <v>3500</v>
      </c>
      <c r="H107" s="185">
        <v>3500</v>
      </c>
      <c r="I107" s="209">
        <f t="shared" si="15"/>
        <v>100</v>
      </c>
      <c r="J107" s="291">
        <f t="shared" si="16"/>
        <v>0.0284846611312441</v>
      </c>
    </row>
    <row r="108" spans="1:10" ht="24.75" customHeight="1">
      <c r="A108" s="138" t="s">
        <v>36</v>
      </c>
      <c r="B108" s="34"/>
      <c r="C108" s="63">
        <v>415200</v>
      </c>
      <c r="D108" s="31" t="s">
        <v>97</v>
      </c>
      <c r="E108" s="185">
        <v>4000</v>
      </c>
      <c r="F108" s="185">
        <v>-4000</v>
      </c>
      <c r="G108" s="185">
        <f t="shared" si="17"/>
        <v>0</v>
      </c>
      <c r="H108" s="185">
        <v>0</v>
      </c>
      <c r="I108" s="209">
        <f t="shared" si="15"/>
        <v>0</v>
      </c>
      <c r="J108" s="291">
        <f t="shared" si="16"/>
        <v>0</v>
      </c>
    </row>
    <row r="109" spans="1:10" ht="24.75" customHeight="1">
      <c r="A109" s="138" t="s">
        <v>47</v>
      </c>
      <c r="B109" s="24"/>
      <c r="C109" s="63">
        <v>415200</v>
      </c>
      <c r="D109" s="45" t="s">
        <v>216</v>
      </c>
      <c r="E109" s="185">
        <v>50000</v>
      </c>
      <c r="F109" s="185">
        <v>0</v>
      </c>
      <c r="G109" s="185">
        <f t="shared" si="17"/>
        <v>50000</v>
      </c>
      <c r="H109" s="185">
        <v>46400</v>
      </c>
      <c r="I109" s="209">
        <f t="shared" si="15"/>
        <v>92.80000000000001</v>
      </c>
      <c r="J109" s="291">
        <f t="shared" si="16"/>
        <v>0.37762522185420744</v>
      </c>
    </row>
    <row r="110" spans="1:10" ht="24.75" customHeight="1">
      <c r="A110" s="138" t="s">
        <v>47</v>
      </c>
      <c r="B110" s="24"/>
      <c r="C110" s="63">
        <v>415200</v>
      </c>
      <c r="D110" s="35" t="s">
        <v>269</v>
      </c>
      <c r="E110" s="185">
        <v>0</v>
      </c>
      <c r="F110" s="185">
        <v>7100</v>
      </c>
      <c r="G110" s="185">
        <f t="shared" si="17"/>
        <v>7100</v>
      </c>
      <c r="H110" s="185">
        <v>7100</v>
      </c>
      <c r="I110" s="209">
        <f t="shared" si="15"/>
        <v>100</v>
      </c>
      <c r="J110" s="291">
        <f t="shared" si="16"/>
        <v>0.05778316972338089</v>
      </c>
    </row>
    <row r="111" spans="1:10" ht="12.75">
      <c r="A111" s="138" t="s">
        <v>37</v>
      </c>
      <c r="B111" s="34"/>
      <c r="C111" s="18">
        <v>415200</v>
      </c>
      <c r="D111" s="31" t="s">
        <v>98</v>
      </c>
      <c r="E111" s="185">
        <v>130000</v>
      </c>
      <c r="F111" s="185">
        <v>0</v>
      </c>
      <c r="G111" s="185">
        <f t="shared" si="17"/>
        <v>130000</v>
      </c>
      <c r="H111" s="185">
        <v>51999</v>
      </c>
      <c r="I111" s="209">
        <f t="shared" si="15"/>
        <v>39.99923076923077</v>
      </c>
      <c r="J111" s="291">
        <f t="shared" si="16"/>
        <v>0.4231925411895891</v>
      </c>
    </row>
    <row r="112" spans="1:10" ht="12.75">
      <c r="A112" s="41" t="s">
        <v>209</v>
      </c>
      <c r="B112" s="48"/>
      <c r="C112" s="39">
        <v>415200</v>
      </c>
      <c r="D112" s="35" t="s">
        <v>217</v>
      </c>
      <c r="E112" s="185">
        <v>20000</v>
      </c>
      <c r="F112" s="185">
        <v>0</v>
      </c>
      <c r="G112" s="185">
        <f t="shared" si="17"/>
        <v>20000</v>
      </c>
      <c r="H112" s="185">
        <v>8000</v>
      </c>
      <c r="I112" s="209">
        <f t="shared" si="15"/>
        <v>40</v>
      </c>
      <c r="J112" s="291">
        <f t="shared" si="16"/>
        <v>0.06510779687141507</v>
      </c>
    </row>
    <row r="113" spans="1:10" ht="24" customHeight="1">
      <c r="A113" s="41" t="s">
        <v>33</v>
      </c>
      <c r="B113" s="48"/>
      <c r="C113" s="39">
        <v>415200</v>
      </c>
      <c r="D113" s="35" t="s">
        <v>245</v>
      </c>
      <c r="E113" s="185">
        <v>45000</v>
      </c>
      <c r="F113" s="185">
        <v>0</v>
      </c>
      <c r="G113" s="185">
        <f t="shared" si="17"/>
        <v>45000</v>
      </c>
      <c r="H113" s="185">
        <v>18000</v>
      </c>
      <c r="I113" s="209">
        <f t="shared" si="15"/>
        <v>40</v>
      </c>
      <c r="J113" s="291">
        <f t="shared" si="16"/>
        <v>0.14649254296068395</v>
      </c>
    </row>
    <row r="114" spans="1:10" ht="1.5" customHeight="1" hidden="1">
      <c r="A114" s="41" t="s">
        <v>33</v>
      </c>
      <c r="B114" s="48"/>
      <c r="C114" s="39">
        <v>415200</v>
      </c>
      <c r="D114" s="35" t="s">
        <v>370</v>
      </c>
      <c r="E114" s="185">
        <v>0</v>
      </c>
      <c r="F114" s="185"/>
      <c r="G114" s="185">
        <f t="shared" si="17"/>
        <v>0</v>
      </c>
      <c r="H114" s="185"/>
      <c r="I114" s="209">
        <f t="shared" si="15"/>
        <v>0</v>
      </c>
      <c r="J114" s="291">
        <f t="shared" si="16"/>
        <v>0</v>
      </c>
    </row>
    <row r="115" spans="1:12" ht="12.75" customHeight="1">
      <c r="A115" s="138" t="s">
        <v>38</v>
      </c>
      <c r="B115" s="34"/>
      <c r="C115" s="18">
        <v>415200</v>
      </c>
      <c r="D115" s="31" t="s">
        <v>99</v>
      </c>
      <c r="E115" s="185">
        <v>80000</v>
      </c>
      <c r="F115" s="185">
        <v>0</v>
      </c>
      <c r="G115" s="185">
        <f t="shared" si="17"/>
        <v>80000</v>
      </c>
      <c r="H115" s="185">
        <v>39998</v>
      </c>
      <c r="I115" s="209">
        <f t="shared" si="15"/>
        <v>49.9975</v>
      </c>
      <c r="J115" s="291">
        <f t="shared" si="16"/>
        <v>0.32552270740785755</v>
      </c>
      <c r="L115" s="478"/>
    </row>
    <row r="116" spans="1:10" ht="15.75" customHeight="1">
      <c r="A116" s="138" t="s">
        <v>38</v>
      </c>
      <c r="B116" s="34"/>
      <c r="C116" s="18">
        <v>415200</v>
      </c>
      <c r="D116" s="31" t="s">
        <v>268</v>
      </c>
      <c r="E116" s="185">
        <v>0</v>
      </c>
      <c r="F116" s="185">
        <v>500</v>
      </c>
      <c r="G116" s="185">
        <f t="shared" si="17"/>
        <v>500</v>
      </c>
      <c r="H116" s="185">
        <v>500</v>
      </c>
      <c r="I116" s="209">
        <f t="shared" si="15"/>
        <v>100</v>
      </c>
      <c r="J116" s="291">
        <f t="shared" si="16"/>
        <v>0.004069237304463442</v>
      </c>
    </row>
    <row r="117" spans="1:10" ht="39" customHeight="1">
      <c r="A117" s="138" t="s">
        <v>185</v>
      </c>
      <c r="B117" s="113"/>
      <c r="C117" s="18">
        <v>415200</v>
      </c>
      <c r="D117" s="44" t="s">
        <v>333</v>
      </c>
      <c r="E117" s="185">
        <v>10000</v>
      </c>
      <c r="F117" s="185">
        <v>0</v>
      </c>
      <c r="G117" s="185">
        <f t="shared" si="17"/>
        <v>10000</v>
      </c>
      <c r="H117" s="185">
        <v>498.27</v>
      </c>
      <c r="I117" s="209">
        <f t="shared" si="15"/>
        <v>4.9826999999999995</v>
      </c>
      <c r="J117" s="291">
        <f t="shared" si="16"/>
        <v>0.004055157743389999</v>
      </c>
    </row>
    <row r="118" spans="1:10" ht="38.25" customHeight="1" hidden="1">
      <c r="A118" s="138" t="s">
        <v>185</v>
      </c>
      <c r="B118" s="113"/>
      <c r="C118" s="18">
        <v>415200</v>
      </c>
      <c r="D118" s="44" t="s">
        <v>388</v>
      </c>
      <c r="E118" s="185"/>
      <c r="F118" s="185"/>
      <c r="G118" s="185">
        <f t="shared" si="17"/>
        <v>0</v>
      </c>
      <c r="H118" s="185"/>
      <c r="I118" s="209">
        <f t="shared" si="15"/>
        <v>0</v>
      </c>
      <c r="J118" s="291">
        <f t="shared" si="16"/>
        <v>0</v>
      </c>
    </row>
    <row r="119" spans="1:10" ht="37.5" customHeight="1" hidden="1">
      <c r="A119" s="138" t="s">
        <v>36</v>
      </c>
      <c r="B119" s="113"/>
      <c r="C119" s="18">
        <v>415200</v>
      </c>
      <c r="D119" s="44" t="s">
        <v>445</v>
      </c>
      <c r="E119" s="272">
        <v>0</v>
      </c>
      <c r="F119" s="272"/>
      <c r="G119" s="272">
        <f t="shared" si="17"/>
        <v>0</v>
      </c>
      <c r="H119" s="272"/>
      <c r="I119" s="209">
        <f t="shared" si="15"/>
        <v>0</v>
      </c>
      <c r="J119" s="291">
        <f aca="true" t="shared" si="18" ref="J119:J135">H119/$H$494*100</f>
        <v>0</v>
      </c>
    </row>
    <row r="120" spans="1:10" ht="23.25" customHeight="1" hidden="1">
      <c r="A120" s="138" t="s">
        <v>36</v>
      </c>
      <c r="B120" s="113"/>
      <c r="C120" s="18">
        <v>415200</v>
      </c>
      <c r="D120" s="44" t="s">
        <v>334</v>
      </c>
      <c r="E120" s="272">
        <v>0</v>
      </c>
      <c r="F120" s="272"/>
      <c r="G120" s="272">
        <f t="shared" si="17"/>
        <v>0</v>
      </c>
      <c r="H120" s="272"/>
      <c r="I120" s="209">
        <f t="shared" si="15"/>
        <v>0</v>
      </c>
      <c r="J120" s="291">
        <f t="shared" si="18"/>
        <v>0</v>
      </c>
    </row>
    <row r="121" spans="1:10" ht="36.75" customHeight="1" hidden="1">
      <c r="A121" s="138" t="s">
        <v>36</v>
      </c>
      <c r="B121" s="113"/>
      <c r="C121" s="18">
        <v>415200</v>
      </c>
      <c r="D121" s="44" t="s">
        <v>375</v>
      </c>
      <c r="E121" s="272"/>
      <c r="F121" s="272"/>
      <c r="G121" s="272">
        <f t="shared" si="17"/>
        <v>0</v>
      </c>
      <c r="H121" s="272"/>
      <c r="I121" s="188">
        <f t="shared" si="15"/>
        <v>0</v>
      </c>
      <c r="J121" s="317">
        <f t="shared" si="18"/>
        <v>0</v>
      </c>
    </row>
    <row r="122" spans="1:10" ht="14.25" customHeight="1">
      <c r="A122" s="138"/>
      <c r="B122" s="77">
        <v>416000</v>
      </c>
      <c r="C122" s="32"/>
      <c r="D122" s="60" t="s">
        <v>1</v>
      </c>
      <c r="E122" s="188">
        <f>SUM(E123:E130)</f>
        <v>405000</v>
      </c>
      <c r="F122" s="188">
        <f>SUM(F123:F130)</f>
        <v>46664</v>
      </c>
      <c r="G122" s="188">
        <f>SUM(G123:G130)</f>
        <v>451664</v>
      </c>
      <c r="H122" s="188">
        <f>SUM(H123:H130)</f>
        <v>253974</v>
      </c>
      <c r="I122" s="188">
        <f t="shared" si="15"/>
        <v>56.23073789365546</v>
      </c>
      <c r="J122" s="317">
        <f t="shared" si="18"/>
        <v>2.066960950327597</v>
      </c>
    </row>
    <row r="123" spans="1:10" ht="12.75">
      <c r="A123" s="41" t="s">
        <v>174</v>
      </c>
      <c r="B123" s="34"/>
      <c r="C123" s="18">
        <v>416100</v>
      </c>
      <c r="D123" s="31" t="s">
        <v>203</v>
      </c>
      <c r="E123" s="185">
        <v>300000</v>
      </c>
      <c r="F123" s="185">
        <v>0</v>
      </c>
      <c r="G123" s="185">
        <f t="shared" si="17"/>
        <v>300000</v>
      </c>
      <c r="H123" s="185">
        <v>166560</v>
      </c>
      <c r="I123" s="209">
        <f t="shared" si="15"/>
        <v>55.52</v>
      </c>
      <c r="J123" s="291">
        <f t="shared" si="18"/>
        <v>1.3555443308628619</v>
      </c>
    </row>
    <row r="124" spans="1:10" ht="24">
      <c r="A124" s="41" t="s">
        <v>174</v>
      </c>
      <c r="B124" s="34"/>
      <c r="C124" s="18">
        <v>416100</v>
      </c>
      <c r="D124" s="31" t="s">
        <v>530</v>
      </c>
      <c r="E124" s="185">
        <v>15000</v>
      </c>
      <c r="F124" s="185">
        <v>0</v>
      </c>
      <c r="G124" s="185">
        <f t="shared" si="17"/>
        <v>15000</v>
      </c>
      <c r="H124" s="185">
        <v>0</v>
      </c>
      <c r="I124" s="209">
        <f t="shared" si="15"/>
        <v>0</v>
      </c>
      <c r="J124" s="291">
        <f t="shared" si="18"/>
        <v>0</v>
      </c>
    </row>
    <row r="125" spans="1:10" ht="24">
      <c r="A125" s="41" t="s">
        <v>174</v>
      </c>
      <c r="B125" s="34"/>
      <c r="C125" s="18">
        <v>416100</v>
      </c>
      <c r="D125" s="31" t="s">
        <v>561</v>
      </c>
      <c r="E125" s="185">
        <v>0</v>
      </c>
      <c r="F125" s="185">
        <v>7339</v>
      </c>
      <c r="G125" s="185">
        <f t="shared" si="17"/>
        <v>7339</v>
      </c>
      <c r="H125" s="185">
        <v>7339</v>
      </c>
      <c r="I125" s="209">
        <f>IF(G125&gt;0,H125/G125*100,0)</f>
        <v>100</v>
      </c>
      <c r="J125" s="291">
        <f t="shared" si="18"/>
        <v>0.05972826515491442</v>
      </c>
    </row>
    <row r="126" spans="1:10" ht="12.75">
      <c r="A126" s="41" t="s">
        <v>33</v>
      </c>
      <c r="B126" s="43"/>
      <c r="C126" s="18">
        <v>416100</v>
      </c>
      <c r="D126" s="44" t="s">
        <v>105</v>
      </c>
      <c r="E126" s="185">
        <v>15000</v>
      </c>
      <c r="F126" s="185">
        <v>0</v>
      </c>
      <c r="G126" s="185">
        <f t="shared" si="17"/>
        <v>15000</v>
      </c>
      <c r="H126" s="185">
        <v>5950</v>
      </c>
      <c r="I126" s="209">
        <f t="shared" si="15"/>
        <v>39.666666666666664</v>
      </c>
      <c r="J126" s="291">
        <f t="shared" si="18"/>
        <v>0.04842392392311497</v>
      </c>
    </row>
    <row r="127" spans="1:10" ht="12.75" customHeight="1">
      <c r="A127" s="41" t="s">
        <v>33</v>
      </c>
      <c r="B127" s="43"/>
      <c r="C127" s="18">
        <v>416100</v>
      </c>
      <c r="D127" s="44" t="s">
        <v>267</v>
      </c>
      <c r="E127" s="185">
        <v>0</v>
      </c>
      <c r="F127" s="185">
        <v>39325</v>
      </c>
      <c r="G127" s="185">
        <f t="shared" si="17"/>
        <v>39325</v>
      </c>
      <c r="H127" s="185">
        <v>39325</v>
      </c>
      <c r="I127" s="209">
        <f t="shared" si="15"/>
        <v>100</v>
      </c>
      <c r="J127" s="291">
        <f t="shared" si="18"/>
        <v>0.32004551399604975</v>
      </c>
    </row>
    <row r="128" spans="1:10" ht="23.25" customHeight="1">
      <c r="A128" s="41" t="s">
        <v>184</v>
      </c>
      <c r="B128" s="43"/>
      <c r="C128" s="18">
        <v>416100</v>
      </c>
      <c r="D128" s="44" t="s">
        <v>199</v>
      </c>
      <c r="E128" s="197">
        <v>20000</v>
      </c>
      <c r="F128" s="197">
        <v>0</v>
      </c>
      <c r="G128" s="197">
        <f t="shared" si="17"/>
        <v>20000</v>
      </c>
      <c r="H128" s="197">
        <v>19800</v>
      </c>
      <c r="I128" s="209">
        <f t="shared" si="15"/>
        <v>99</v>
      </c>
      <c r="J128" s="291">
        <f t="shared" si="18"/>
        <v>0.16114179725675232</v>
      </c>
    </row>
    <row r="129" spans="1:10" ht="24" customHeight="1">
      <c r="A129" s="41" t="s">
        <v>184</v>
      </c>
      <c r="B129" s="43"/>
      <c r="C129" s="18">
        <v>416100</v>
      </c>
      <c r="D129" s="44" t="s">
        <v>297</v>
      </c>
      <c r="E129" s="71">
        <v>15000</v>
      </c>
      <c r="F129" s="197">
        <v>0</v>
      </c>
      <c r="G129" s="197">
        <f t="shared" si="17"/>
        <v>15000</v>
      </c>
      <c r="H129" s="197">
        <v>15000</v>
      </c>
      <c r="I129" s="209">
        <f t="shared" si="15"/>
        <v>100</v>
      </c>
      <c r="J129" s="291">
        <f t="shared" si="18"/>
        <v>0.12207711913390328</v>
      </c>
    </row>
    <row r="130" spans="1:10" ht="14.25" customHeight="1">
      <c r="A130" s="288" t="s">
        <v>527</v>
      </c>
      <c r="B130" s="43"/>
      <c r="C130" s="18">
        <v>416100</v>
      </c>
      <c r="D130" s="44" t="s">
        <v>526</v>
      </c>
      <c r="E130" s="71">
        <v>40000</v>
      </c>
      <c r="F130" s="197">
        <v>0</v>
      </c>
      <c r="G130" s="197">
        <f t="shared" si="17"/>
        <v>40000</v>
      </c>
      <c r="H130" s="197">
        <v>0</v>
      </c>
      <c r="I130" s="209">
        <f t="shared" si="15"/>
        <v>0</v>
      </c>
      <c r="J130" s="291">
        <f t="shared" si="18"/>
        <v>0</v>
      </c>
    </row>
    <row r="131" spans="1:10" ht="15" customHeight="1">
      <c r="A131" s="288"/>
      <c r="B131" s="77">
        <v>487000</v>
      </c>
      <c r="C131" s="18"/>
      <c r="D131" s="152" t="s">
        <v>433</v>
      </c>
      <c r="E131" s="66">
        <f>SUM(E132:E134)</f>
        <v>18000</v>
      </c>
      <c r="F131" s="66">
        <f>SUM(F132:F134)</f>
        <v>6520</v>
      </c>
      <c r="G131" s="66">
        <f>SUM(G132:G134)</f>
        <v>24520</v>
      </c>
      <c r="H131" s="66">
        <f>SUM(H132:H134)</f>
        <v>24515</v>
      </c>
      <c r="I131" s="188">
        <f t="shared" si="15"/>
        <v>99.97960848287113</v>
      </c>
      <c r="J131" s="317">
        <f t="shared" si="18"/>
        <v>0.19951470503784258</v>
      </c>
    </row>
    <row r="132" spans="1:10" ht="13.5" customHeight="1">
      <c r="A132" s="288" t="s">
        <v>31</v>
      </c>
      <c r="B132" s="77"/>
      <c r="C132" s="18">
        <v>487900</v>
      </c>
      <c r="D132" s="50" t="s">
        <v>170</v>
      </c>
      <c r="E132" s="185">
        <v>8000</v>
      </c>
      <c r="F132" s="185">
        <v>5440</v>
      </c>
      <c r="G132" s="185">
        <f t="shared" si="17"/>
        <v>13440</v>
      </c>
      <c r="H132" s="185">
        <v>13440</v>
      </c>
      <c r="I132" s="209">
        <f t="shared" si="15"/>
        <v>100</v>
      </c>
      <c r="J132" s="291">
        <f t="shared" si="18"/>
        <v>0.10938109874397733</v>
      </c>
    </row>
    <row r="133" spans="1:10" ht="15" customHeight="1">
      <c r="A133" s="41" t="s">
        <v>31</v>
      </c>
      <c r="B133" s="43"/>
      <c r="C133" s="18">
        <v>487900</v>
      </c>
      <c r="D133" s="50" t="s">
        <v>272</v>
      </c>
      <c r="E133" s="185">
        <v>0</v>
      </c>
      <c r="F133" s="185">
        <v>1080</v>
      </c>
      <c r="G133" s="185">
        <f t="shared" si="17"/>
        <v>1080</v>
      </c>
      <c r="H133" s="185">
        <v>1080</v>
      </c>
      <c r="I133" s="209">
        <f t="shared" si="15"/>
        <v>100</v>
      </c>
      <c r="J133" s="291">
        <f t="shared" si="18"/>
        <v>0.008789552577641037</v>
      </c>
    </row>
    <row r="134" spans="1:10" ht="12.75" customHeight="1">
      <c r="A134" s="138" t="s">
        <v>31</v>
      </c>
      <c r="B134" s="34"/>
      <c r="C134" s="63">
        <v>487900</v>
      </c>
      <c r="D134" s="50" t="s">
        <v>335</v>
      </c>
      <c r="E134" s="185">
        <v>10000</v>
      </c>
      <c r="F134" s="185">
        <v>0</v>
      </c>
      <c r="G134" s="185">
        <f t="shared" si="17"/>
        <v>10000</v>
      </c>
      <c r="H134" s="185">
        <v>9995</v>
      </c>
      <c r="I134" s="209">
        <f t="shared" si="15"/>
        <v>99.95</v>
      </c>
      <c r="J134" s="291">
        <f t="shared" si="18"/>
        <v>0.08134405371622422</v>
      </c>
    </row>
    <row r="135" spans="1:10" ht="30" customHeight="1">
      <c r="A135" s="556"/>
      <c r="B135" s="557"/>
      <c r="C135" s="549" t="s">
        <v>240</v>
      </c>
      <c r="D135" s="550"/>
      <c r="E135" s="350">
        <f>E87+E90+E122+E131</f>
        <v>1173400</v>
      </c>
      <c r="F135" s="350">
        <f>F87+F90+F122+F131</f>
        <v>104164</v>
      </c>
      <c r="G135" s="350">
        <f>G87+G90+G122+G131</f>
        <v>1277564</v>
      </c>
      <c r="H135" s="350">
        <f>H87+H90+H122+H131</f>
        <v>702357.0700000001</v>
      </c>
      <c r="I135" s="351">
        <f t="shared" si="15"/>
        <v>54.976272812947144</v>
      </c>
      <c r="J135" s="357">
        <f t="shared" si="18"/>
        <v>5.716115180595283</v>
      </c>
    </row>
    <row r="136" spans="1:10" ht="9.75" customHeight="1">
      <c r="A136" s="556"/>
      <c r="B136" s="557"/>
      <c r="C136" s="545" t="s">
        <v>123</v>
      </c>
      <c r="D136" s="546"/>
      <c r="E136" s="176"/>
      <c r="F136" s="176"/>
      <c r="G136" s="176"/>
      <c r="H136" s="176"/>
      <c r="I136" s="176"/>
      <c r="J136" s="375"/>
    </row>
    <row r="137" spans="1:10" ht="9.75" customHeight="1">
      <c r="A137" s="556"/>
      <c r="B137" s="557"/>
      <c r="C137" s="545"/>
      <c r="D137" s="546"/>
      <c r="E137" s="177"/>
      <c r="F137" s="177"/>
      <c r="G137" s="177"/>
      <c r="H137" s="177"/>
      <c r="I137" s="177"/>
      <c r="J137" s="376"/>
    </row>
    <row r="138" spans="1:10" ht="19.5" customHeight="1">
      <c r="A138" s="556"/>
      <c r="B138" s="557"/>
      <c r="C138" s="545"/>
      <c r="D138" s="546"/>
      <c r="E138" s="178"/>
      <c r="F138" s="178"/>
      <c r="G138" s="178"/>
      <c r="H138" s="178"/>
      <c r="I138" s="178"/>
      <c r="J138" s="377"/>
    </row>
    <row r="139" spans="1:10" ht="14.25" customHeight="1">
      <c r="A139" s="138"/>
      <c r="B139" s="24">
        <v>412000</v>
      </c>
      <c r="C139" s="32"/>
      <c r="D139" s="33" t="s">
        <v>143</v>
      </c>
      <c r="E139" s="360">
        <f>SUM(E140:E143)</f>
        <v>90400</v>
      </c>
      <c r="F139" s="360">
        <f>SUM(F140:F143)</f>
        <v>0</v>
      </c>
      <c r="G139" s="360">
        <f>SUM(G140:G143)</f>
        <v>90400</v>
      </c>
      <c r="H139" s="360">
        <f>SUM(H140:H143)</f>
        <v>25214.13</v>
      </c>
      <c r="I139" s="360">
        <f aca="true" t="shared" si="19" ref="I139:I144">IF(G139&gt;0,H139/G139*100,0)</f>
        <v>27.89173672566372</v>
      </c>
      <c r="J139" s="359">
        <f aca="true" t="shared" si="20" ref="J139:J144">H139/$H$494*100</f>
        <v>0.20520455679118166</v>
      </c>
    </row>
    <row r="140" spans="1:10" ht="24.75" customHeight="1">
      <c r="A140" s="138" t="s">
        <v>39</v>
      </c>
      <c r="B140" s="24"/>
      <c r="C140" s="18">
        <v>412700</v>
      </c>
      <c r="D140" s="31" t="s">
        <v>191</v>
      </c>
      <c r="E140" s="197">
        <v>20000</v>
      </c>
      <c r="F140" s="197">
        <v>0</v>
      </c>
      <c r="G140" s="197">
        <f>E140+F140</f>
        <v>20000</v>
      </c>
      <c r="H140" s="197">
        <v>6049.97</v>
      </c>
      <c r="I140" s="209">
        <f t="shared" si="19"/>
        <v>30.249850000000002</v>
      </c>
      <c r="J140" s="291">
        <f t="shared" si="20"/>
        <v>0.049237527229769394</v>
      </c>
    </row>
    <row r="141" spans="1:10" ht="25.5" customHeight="1">
      <c r="A141" s="138" t="s">
        <v>39</v>
      </c>
      <c r="B141" s="24"/>
      <c r="C141" s="18">
        <v>412700</v>
      </c>
      <c r="D141" s="31" t="s">
        <v>107</v>
      </c>
      <c r="E141" s="197">
        <v>50000</v>
      </c>
      <c r="F141" s="197">
        <v>0</v>
      </c>
      <c r="G141" s="197">
        <f>E141+F141</f>
        <v>50000</v>
      </c>
      <c r="H141" s="197">
        <v>8014.5</v>
      </c>
      <c r="I141" s="209">
        <f t="shared" si="19"/>
        <v>16.029</v>
      </c>
      <c r="J141" s="291">
        <f t="shared" si="20"/>
        <v>0.06522580475324452</v>
      </c>
    </row>
    <row r="142" spans="1:10" ht="12.75">
      <c r="A142" s="138" t="s">
        <v>27</v>
      </c>
      <c r="B142" s="34"/>
      <c r="C142" s="18">
        <v>412900</v>
      </c>
      <c r="D142" s="31" t="s">
        <v>28</v>
      </c>
      <c r="E142" s="197">
        <v>400</v>
      </c>
      <c r="F142" s="197">
        <v>0</v>
      </c>
      <c r="G142" s="197">
        <f>E142+F142</f>
        <v>400</v>
      </c>
      <c r="H142" s="197">
        <v>103.2</v>
      </c>
      <c r="I142" s="209">
        <f t="shared" si="19"/>
        <v>25.8</v>
      </c>
      <c r="J142" s="291">
        <f t="shared" si="20"/>
        <v>0.0008398905796412546</v>
      </c>
    </row>
    <row r="143" spans="1:10" ht="24" customHeight="1">
      <c r="A143" s="138" t="s">
        <v>27</v>
      </c>
      <c r="B143" s="34"/>
      <c r="C143" s="18">
        <v>412900</v>
      </c>
      <c r="D143" s="31" t="s">
        <v>106</v>
      </c>
      <c r="E143" s="197">
        <v>20000</v>
      </c>
      <c r="F143" s="197">
        <v>0</v>
      </c>
      <c r="G143" s="197">
        <f>E143+F143</f>
        <v>20000</v>
      </c>
      <c r="H143" s="197">
        <v>11046.46</v>
      </c>
      <c r="I143" s="209">
        <f t="shared" si="19"/>
        <v>55.2323</v>
      </c>
      <c r="J143" s="291">
        <f t="shared" si="20"/>
        <v>0.08990133422852647</v>
      </c>
    </row>
    <row r="144" spans="1:10" ht="30" customHeight="1">
      <c r="A144" s="556"/>
      <c r="B144" s="557"/>
      <c r="C144" s="549" t="s">
        <v>246</v>
      </c>
      <c r="D144" s="550"/>
      <c r="E144" s="350">
        <f>E139</f>
        <v>90400</v>
      </c>
      <c r="F144" s="350">
        <f>F139</f>
        <v>0</v>
      </c>
      <c r="G144" s="350">
        <f>G139</f>
        <v>90400</v>
      </c>
      <c r="H144" s="350">
        <f>H139</f>
        <v>25214.13</v>
      </c>
      <c r="I144" s="351">
        <f t="shared" si="19"/>
        <v>27.89173672566372</v>
      </c>
      <c r="J144" s="357">
        <f t="shared" si="20"/>
        <v>0.20520455679118166</v>
      </c>
    </row>
    <row r="145" spans="1:10" ht="9.75" customHeight="1">
      <c r="A145" s="556"/>
      <c r="B145" s="557"/>
      <c r="C145" s="545" t="s">
        <v>124</v>
      </c>
      <c r="D145" s="546"/>
      <c r="E145" s="176"/>
      <c r="F145" s="176"/>
      <c r="G145" s="176"/>
      <c r="H145" s="176"/>
      <c r="I145" s="176"/>
      <c r="J145" s="375"/>
    </row>
    <row r="146" spans="1:10" ht="9.75" customHeight="1">
      <c r="A146" s="556"/>
      <c r="B146" s="557"/>
      <c r="C146" s="545"/>
      <c r="D146" s="546"/>
      <c r="E146" s="177"/>
      <c r="F146" s="177"/>
      <c r="G146" s="177"/>
      <c r="H146" s="177"/>
      <c r="I146" s="177"/>
      <c r="J146" s="376"/>
    </row>
    <row r="147" spans="1:10" ht="9.75" customHeight="1">
      <c r="A147" s="556"/>
      <c r="B147" s="557"/>
      <c r="C147" s="545"/>
      <c r="D147" s="546"/>
      <c r="E147" s="177"/>
      <c r="F147" s="177"/>
      <c r="G147" s="177"/>
      <c r="H147" s="177"/>
      <c r="I147" s="177"/>
      <c r="J147" s="376"/>
    </row>
    <row r="148" spans="1:10" ht="19.5" customHeight="1">
      <c r="A148" s="556"/>
      <c r="B148" s="557"/>
      <c r="C148" s="545"/>
      <c r="D148" s="546"/>
      <c r="E148" s="178"/>
      <c r="F148" s="178"/>
      <c r="G148" s="178"/>
      <c r="H148" s="178"/>
      <c r="I148" s="178"/>
      <c r="J148" s="377"/>
    </row>
    <row r="149" spans="1:10" ht="14.25" customHeight="1">
      <c r="A149" s="138"/>
      <c r="B149" s="24">
        <v>412000</v>
      </c>
      <c r="C149" s="37"/>
      <c r="D149" s="33" t="s">
        <v>143</v>
      </c>
      <c r="E149" s="360">
        <f>SUM(E150:E154)</f>
        <v>114600</v>
      </c>
      <c r="F149" s="360">
        <f>SUM(F150:F154)</f>
        <v>-10000</v>
      </c>
      <c r="G149" s="360">
        <f>SUM(G150:G154)</f>
        <v>104600</v>
      </c>
      <c r="H149" s="360">
        <f>SUM(H150:H154)</f>
        <v>52211.52</v>
      </c>
      <c r="I149" s="360">
        <f aca="true" t="shared" si="21" ref="I149:I186">IF(G149&gt;0,H149/G149*100,0)</f>
        <v>49.915411089866154</v>
      </c>
      <c r="J149" s="359">
        <f aca="true" t="shared" si="22" ref="J149:J186">H149/$H$494*100</f>
        <v>0.42492212981347827</v>
      </c>
    </row>
    <row r="150" spans="1:10" ht="14.25" customHeight="1">
      <c r="A150" s="138" t="s">
        <v>27</v>
      </c>
      <c r="B150" s="24"/>
      <c r="C150" s="18">
        <v>412100</v>
      </c>
      <c r="D150" s="31" t="s">
        <v>274</v>
      </c>
      <c r="E150" s="185">
        <v>30000</v>
      </c>
      <c r="F150" s="185">
        <v>0</v>
      </c>
      <c r="G150" s="185">
        <f aca="true" t="shared" si="23" ref="G150:G185">E150+F150</f>
        <v>30000</v>
      </c>
      <c r="H150" s="185">
        <v>13111.39</v>
      </c>
      <c r="I150" s="209">
        <f t="shared" si="21"/>
        <v>43.704633333333334</v>
      </c>
      <c r="J150" s="291">
        <f t="shared" si="22"/>
        <v>0.10670671460273787</v>
      </c>
    </row>
    <row r="151" spans="1:10" ht="14.25" customHeight="1">
      <c r="A151" s="138" t="s">
        <v>27</v>
      </c>
      <c r="B151" s="24"/>
      <c r="C151" s="18">
        <v>412200</v>
      </c>
      <c r="D151" s="31" t="s">
        <v>275</v>
      </c>
      <c r="E151" s="185">
        <v>12000</v>
      </c>
      <c r="F151" s="185">
        <v>0</v>
      </c>
      <c r="G151" s="185">
        <f t="shared" si="23"/>
        <v>12000</v>
      </c>
      <c r="H151" s="185">
        <v>5308.46</v>
      </c>
      <c r="I151" s="209">
        <f t="shared" si="21"/>
        <v>44.23716666666667</v>
      </c>
      <c r="J151" s="291">
        <f t="shared" si="22"/>
        <v>0.04320276692250401</v>
      </c>
    </row>
    <row r="152" spans="1:10" ht="12.75" customHeight="1">
      <c r="A152" s="41" t="s">
        <v>27</v>
      </c>
      <c r="B152" s="34"/>
      <c r="C152" s="48">
        <v>412700</v>
      </c>
      <c r="D152" s="35" t="s">
        <v>192</v>
      </c>
      <c r="E152" s="185">
        <v>7000</v>
      </c>
      <c r="F152" s="185">
        <v>0</v>
      </c>
      <c r="G152" s="185">
        <f t="shared" si="23"/>
        <v>7000</v>
      </c>
      <c r="H152" s="185">
        <v>4498.9</v>
      </c>
      <c r="I152" s="209">
        <f t="shared" si="21"/>
        <v>64.27</v>
      </c>
      <c r="J152" s="291">
        <f t="shared" si="22"/>
        <v>0.03661418341810116</v>
      </c>
    </row>
    <row r="153" spans="1:11" ht="23.25" customHeight="1">
      <c r="A153" s="138" t="s">
        <v>27</v>
      </c>
      <c r="B153" s="34"/>
      <c r="C153" s="18">
        <v>412900</v>
      </c>
      <c r="D153" s="31" t="s">
        <v>276</v>
      </c>
      <c r="E153" s="185">
        <v>65000</v>
      </c>
      <c r="F153" s="185">
        <v>-10000</v>
      </c>
      <c r="G153" s="185">
        <f t="shared" si="23"/>
        <v>55000</v>
      </c>
      <c r="H153" s="185">
        <v>29014.64</v>
      </c>
      <c r="I153" s="209">
        <f t="shared" si="21"/>
        <v>52.753890909090906</v>
      </c>
      <c r="J153" s="291">
        <f t="shared" si="22"/>
        <v>0.23613491092715436</v>
      </c>
      <c r="K153" s="476"/>
    </row>
    <row r="154" spans="1:12" ht="12.75" customHeight="1">
      <c r="A154" s="138" t="s">
        <v>27</v>
      </c>
      <c r="B154" s="34"/>
      <c r="C154" s="18">
        <v>412900</v>
      </c>
      <c r="D154" s="31" t="s">
        <v>0</v>
      </c>
      <c r="E154" s="197">
        <v>600</v>
      </c>
      <c r="F154" s="185">
        <v>0</v>
      </c>
      <c r="G154" s="197">
        <f t="shared" si="23"/>
        <v>600</v>
      </c>
      <c r="H154" s="197">
        <v>278.13</v>
      </c>
      <c r="I154" s="209">
        <f t="shared" si="21"/>
        <v>46.355000000000004</v>
      </c>
      <c r="J154" s="291">
        <f t="shared" si="22"/>
        <v>0.0022635539429808347</v>
      </c>
      <c r="L154" s="401"/>
    </row>
    <row r="155" spans="1:10" ht="15" customHeight="1">
      <c r="A155" s="138"/>
      <c r="B155" s="24"/>
      <c r="C155" s="18"/>
      <c r="D155" s="33" t="s">
        <v>213</v>
      </c>
      <c r="E155" s="188">
        <f>SUM(E156:E164)</f>
        <v>560000</v>
      </c>
      <c r="F155" s="188">
        <f>SUM(F156:F164)</f>
        <v>120000</v>
      </c>
      <c r="G155" s="188">
        <f>SUM(G156:G164)</f>
        <v>680000</v>
      </c>
      <c r="H155" s="188">
        <f>SUM(H156:H164)</f>
        <v>511543.82999999996</v>
      </c>
      <c r="I155" s="188">
        <f t="shared" si="21"/>
        <v>75.22703382352941</v>
      </c>
      <c r="J155" s="317">
        <f t="shared" si="22"/>
        <v>4.163186471808211</v>
      </c>
    </row>
    <row r="156" spans="1:10" ht="73.5" customHeight="1">
      <c r="A156" s="41" t="s">
        <v>41</v>
      </c>
      <c r="B156" s="34"/>
      <c r="C156" s="39">
        <v>412800</v>
      </c>
      <c r="D156" s="35" t="s">
        <v>235</v>
      </c>
      <c r="E156" s="197">
        <v>140000</v>
      </c>
      <c r="F156" s="197">
        <v>0</v>
      </c>
      <c r="G156" s="197">
        <f t="shared" si="23"/>
        <v>140000</v>
      </c>
      <c r="H156" s="197">
        <v>74789.69</v>
      </c>
      <c r="I156" s="209">
        <f t="shared" si="21"/>
        <v>53.42120714285714</v>
      </c>
      <c r="J156" s="291">
        <f t="shared" si="22"/>
        <v>0.608673993074513</v>
      </c>
    </row>
    <row r="157" spans="1:11" ht="37.5" customHeight="1">
      <c r="A157" s="41" t="s">
        <v>41</v>
      </c>
      <c r="B157" s="34"/>
      <c r="C157" s="39">
        <v>412800</v>
      </c>
      <c r="D157" s="35" t="s">
        <v>236</v>
      </c>
      <c r="E157" s="185">
        <v>55000</v>
      </c>
      <c r="F157" s="185">
        <v>0</v>
      </c>
      <c r="G157" s="185">
        <f t="shared" si="23"/>
        <v>55000</v>
      </c>
      <c r="H157" s="185">
        <v>39909.06</v>
      </c>
      <c r="I157" s="209">
        <f t="shared" si="21"/>
        <v>72.56192727272726</v>
      </c>
      <c r="J157" s="291">
        <f t="shared" si="22"/>
        <v>0.32479887147613956</v>
      </c>
      <c r="K157" s="475"/>
    </row>
    <row r="158" spans="1:10" ht="24">
      <c r="A158" s="41" t="s">
        <v>41</v>
      </c>
      <c r="B158" s="34"/>
      <c r="C158" s="39">
        <v>412800</v>
      </c>
      <c r="D158" s="35" t="s">
        <v>108</v>
      </c>
      <c r="E158" s="197">
        <v>160000</v>
      </c>
      <c r="F158" s="197">
        <v>120000</v>
      </c>
      <c r="G158" s="197">
        <f t="shared" si="23"/>
        <v>280000</v>
      </c>
      <c r="H158" s="197">
        <v>279536.29</v>
      </c>
      <c r="I158" s="209">
        <f t="shared" si="21"/>
        <v>99.83438928571428</v>
      </c>
      <c r="J158" s="291">
        <f t="shared" si="22"/>
        <v>2.2749989984386225</v>
      </c>
    </row>
    <row r="159" spans="1:10" ht="24.75" customHeight="1">
      <c r="A159" s="41" t="s">
        <v>41</v>
      </c>
      <c r="B159" s="34"/>
      <c r="C159" s="39">
        <v>412800</v>
      </c>
      <c r="D159" s="35" t="s">
        <v>128</v>
      </c>
      <c r="E159" s="197">
        <v>140000</v>
      </c>
      <c r="F159" s="197">
        <v>0</v>
      </c>
      <c r="G159" s="197">
        <f t="shared" si="23"/>
        <v>140000</v>
      </c>
      <c r="H159" s="197">
        <v>88766.05</v>
      </c>
      <c r="I159" s="209">
        <f t="shared" si="21"/>
        <v>63.40432142857143</v>
      </c>
      <c r="J159" s="291">
        <f t="shared" si="22"/>
        <v>0.7224202440597344</v>
      </c>
    </row>
    <row r="160" spans="1:10" ht="24.75" customHeight="1">
      <c r="A160" s="41" t="s">
        <v>41</v>
      </c>
      <c r="B160" s="34"/>
      <c r="C160" s="39">
        <v>412800</v>
      </c>
      <c r="D160" s="35" t="s">
        <v>292</v>
      </c>
      <c r="E160" s="185">
        <v>25000</v>
      </c>
      <c r="F160" s="197">
        <v>0</v>
      </c>
      <c r="G160" s="185">
        <f t="shared" si="23"/>
        <v>25000</v>
      </c>
      <c r="H160" s="185">
        <v>16175.25</v>
      </c>
      <c r="I160" s="209">
        <f t="shared" si="21"/>
        <v>64.701</v>
      </c>
      <c r="J160" s="291">
        <f t="shared" si="22"/>
        <v>0.1316418614180446</v>
      </c>
    </row>
    <row r="161" spans="1:10" ht="12.75">
      <c r="A161" s="41" t="s">
        <v>41</v>
      </c>
      <c r="B161" s="34"/>
      <c r="C161" s="34">
        <v>412800</v>
      </c>
      <c r="D161" s="45" t="s">
        <v>205</v>
      </c>
      <c r="E161" s="185">
        <v>5000</v>
      </c>
      <c r="F161" s="197">
        <v>0</v>
      </c>
      <c r="G161" s="185">
        <f t="shared" si="23"/>
        <v>5000</v>
      </c>
      <c r="H161" s="185">
        <v>0</v>
      </c>
      <c r="I161" s="209">
        <f t="shared" si="21"/>
        <v>0</v>
      </c>
      <c r="J161" s="291">
        <f t="shared" si="22"/>
        <v>0</v>
      </c>
    </row>
    <row r="162" spans="1:10" ht="12.75">
      <c r="A162" s="41" t="s">
        <v>41</v>
      </c>
      <c r="B162" s="34"/>
      <c r="C162" s="39">
        <v>412800</v>
      </c>
      <c r="D162" s="35" t="s">
        <v>42</v>
      </c>
      <c r="E162" s="185">
        <v>20000</v>
      </c>
      <c r="F162" s="197">
        <v>0</v>
      </c>
      <c r="G162" s="185">
        <f t="shared" si="23"/>
        <v>20000</v>
      </c>
      <c r="H162" s="185">
        <v>11784.24</v>
      </c>
      <c r="I162" s="209">
        <f t="shared" si="21"/>
        <v>58.9212</v>
      </c>
      <c r="J162" s="291">
        <f t="shared" si="22"/>
        <v>0.09590573802550056</v>
      </c>
    </row>
    <row r="163" spans="1:10" ht="12.75" hidden="1">
      <c r="A163" s="41" t="s">
        <v>41</v>
      </c>
      <c r="B163" s="34"/>
      <c r="C163" s="39">
        <v>412800</v>
      </c>
      <c r="D163" s="35" t="s">
        <v>355</v>
      </c>
      <c r="E163" s="185"/>
      <c r="F163" s="197">
        <v>0</v>
      </c>
      <c r="G163" s="185">
        <f t="shared" si="23"/>
        <v>0</v>
      </c>
      <c r="H163" s="185"/>
      <c r="I163" s="209">
        <f t="shared" si="21"/>
        <v>0</v>
      </c>
      <c r="J163" s="291">
        <f t="shared" si="22"/>
        <v>0</v>
      </c>
    </row>
    <row r="164" spans="1:10" ht="25.5" customHeight="1">
      <c r="A164" s="41" t="s">
        <v>41</v>
      </c>
      <c r="B164" s="34"/>
      <c r="C164" s="39">
        <v>412900</v>
      </c>
      <c r="D164" s="35" t="s">
        <v>138</v>
      </c>
      <c r="E164" s="185">
        <v>15000</v>
      </c>
      <c r="F164" s="197">
        <v>0</v>
      </c>
      <c r="G164" s="185">
        <f t="shared" si="23"/>
        <v>15000</v>
      </c>
      <c r="H164" s="185">
        <v>583.25</v>
      </c>
      <c r="I164" s="209">
        <f t="shared" si="21"/>
        <v>3.888333333333333</v>
      </c>
      <c r="J164" s="291">
        <f t="shared" si="22"/>
        <v>0.004746765315656606</v>
      </c>
    </row>
    <row r="165" spans="1:10" ht="16.5" customHeight="1">
      <c r="A165" s="138"/>
      <c r="B165" s="34"/>
      <c r="C165" s="46"/>
      <c r="D165" s="47" t="s">
        <v>43</v>
      </c>
      <c r="E165" s="188">
        <f>SUM(E166:E171)</f>
        <v>282000</v>
      </c>
      <c r="F165" s="188">
        <f>SUM(F166:F171)</f>
        <v>-58200</v>
      </c>
      <c r="G165" s="188">
        <f>SUM(G166:G171)</f>
        <v>223800</v>
      </c>
      <c r="H165" s="188">
        <f>SUM(H166:H171)</f>
        <v>90278.81</v>
      </c>
      <c r="I165" s="188">
        <f t="shared" si="21"/>
        <v>40.339057193923146</v>
      </c>
      <c r="J165" s="317">
        <f t="shared" si="22"/>
        <v>0.7347318029091345</v>
      </c>
    </row>
    <row r="166" spans="1:10" ht="24.75" customHeight="1">
      <c r="A166" s="138" t="s">
        <v>44</v>
      </c>
      <c r="B166" s="34"/>
      <c r="C166" s="39">
        <v>412500</v>
      </c>
      <c r="D166" s="35" t="s">
        <v>525</v>
      </c>
      <c r="E166" s="197">
        <v>150000</v>
      </c>
      <c r="F166" s="197">
        <v>0</v>
      </c>
      <c r="G166" s="197">
        <f t="shared" si="23"/>
        <v>150000</v>
      </c>
      <c r="H166" s="197">
        <v>59602.85</v>
      </c>
      <c r="I166" s="209">
        <f t="shared" si="21"/>
        <v>39.73523333333333</v>
      </c>
      <c r="J166" s="291">
        <f t="shared" si="22"/>
        <v>0.4850762813446778</v>
      </c>
    </row>
    <row r="167" spans="1:10" ht="34.5" customHeight="1">
      <c r="A167" s="138" t="s">
        <v>44</v>
      </c>
      <c r="B167" s="34"/>
      <c r="C167" s="39">
        <v>412500</v>
      </c>
      <c r="D167" s="35" t="s">
        <v>295</v>
      </c>
      <c r="E167" s="197">
        <v>20000</v>
      </c>
      <c r="F167" s="197">
        <v>-20000</v>
      </c>
      <c r="G167" s="197">
        <f t="shared" si="23"/>
        <v>0</v>
      </c>
      <c r="H167" s="197">
        <v>0</v>
      </c>
      <c r="I167" s="209">
        <f t="shared" si="21"/>
        <v>0</v>
      </c>
      <c r="J167" s="291">
        <f t="shared" si="22"/>
        <v>0</v>
      </c>
    </row>
    <row r="168" spans="1:10" ht="24.75" customHeight="1">
      <c r="A168" s="138" t="s">
        <v>44</v>
      </c>
      <c r="B168" s="34"/>
      <c r="C168" s="39">
        <v>412500</v>
      </c>
      <c r="D168" s="45" t="s">
        <v>196</v>
      </c>
      <c r="E168" s="197">
        <v>10000</v>
      </c>
      <c r="F168" s="197">
        <v>-8200</v>
      </c>
      <c r="G168" s="197">
        <f t="shared" si="23"/>
        <v>1800</v>
      </c>
      <c r="H168" s="197">
        <v>1132.9</v>
      </c>
      <c r="I168" s="209">
        <f t="shared" si="21"/>
        <v>62.93888888888889</v>
      </c>
      <c r="J168" s="291">
        <f t="shared" si="22"/>
        <v>0.00922007788445327</v>
      </c>
    </row>
    <row r="169" spans="1:10" ht="24">
      <c r="A169" s="138" t="s">
        <v>44</v>
      </c>
      <c r="B169" s="34"/>
      <c r="C169" s="39">
        <v>412500</v>
      </c>
      <c r="D169" s="35" t="s">
        <v>210</v>
      </c>
      <c r="E169" s="185">
        <v>70000</v>
      </c>
      <c r="F169" s="185">
        <v>-30000</v>
      </c>
      <c r="G169" s="185">
        <f t="shared" si="23"/>
        <v>40000</v>
      </c>
      <c r="H169" s="185">
        <v>0</v>
      </c>
      <c r="I169" s="209">
        <f t="shared" si="21"/>
        <v>0</v>
      </c>
      <c r="J169" s="291">
        <f t="shared" si="22"/>
        <v>0</v>
      </c>
    </row>
    <row r="170" spans="1:10" ht="12.75">
      <c r="A170" s="138" t="s">
        <v>44</v>
      </c>
      <c r="B170" s="34"/>
      <c r="C170" s="39">
        <v>412500</v>
      </c>
      <c r="D170" s="35" t="s">
        <v>45</v>
      </c>
      <c r="E170" s="185">
        <v>30000</v>
      </c>
      <c r="F170" s="185">
        <v>0</v>
      </c>
      <c r="G170" s="185">
        <f t="shared" si="23"/>
        <v>30000</v>
      </c>
      <c r="H170" s="185">
        <v>29543.06</v>
      </c>
      <c r="I170" s="209">
        <f t="shared" si="21"/>
        <v>98.47686666666668</v>
      </c>
      <c r="J170" s="291">
        <f t="shared" si="22"/>
        <v>0.2404354436800035</v>
      </c>
    </row>
    <row r="171" spans="1:10" ht="12.75">
      <c r="A171" s="138" t="s">
        <v>44</v>
      </c>
      <c r="B171" s="34"/>
      <c r="C171" s="39">
        <v>412500</v>
      </c>
      <c r="D171" s="35" t="s">
        <v>46</v>
      </c>
      <c r="E171" s="185">
        <v>2000</v>
      </c>
      <c r="F171" s="185">
        <v>0</v>
      </c>
      <c r="G171" s="185">
        <f t="shared" si="23"/>
        <v>2000</v>
      </c>
      <c r="H171" s="185">
        <v>0</v>
      </c>
      <c r="I171" s="209">
        <f t="shared" si="21"/>
        <v>0</v>
      </c>
      <c r="J171" s="291">
        <f t="shared" si="22"/>
        <v>0</v>
      </c>
    </row>
    <row r="172" spans="1:10" ht="12.75">
      <c r="A172" s="138"/>
      <c r="B172" s="24">
        <v>415000</v>
      </c>
      <c r="C172" s="39"/>
      <c r="D172" s="47" t="s">
        <v>157</v>
      </c>
      <c r="E172" s="188">
        <f>SUM(E173:E174)</f>
        <v>20000</v>
      </c>
      <c r="F172" s="188">
        <f>SUM(F173:F174)</f>
        <v>-9800</v>
      </c>
      <c r="G172" s="188">
        <f>SUM(G173:G174)</f>
        <v>10200</v>
      </c>
      <c r="H172" s="188">
        <f>SUM(H173:H174)</f>
        <v>1525.4</v>
      </c>
      <c r="I172" s="188">
        <f t="shared" si="21"/>
        <v>14.954901960784314</v>
      </c>
      <c r="J172" s="317">
        <f t="shared" si="22"/>
        <v>0.012414429168457072</v>
      </c>
    </row>
    <row r="173" spans="1:10" ht="13.5" customHeight="1">
      <c r="A173" s="138" t="s">
        <v>41</v>
      </c>
      <c r="B173" s="24"/>
      <c r="C173" s="39">
        <v>415200</v>
      </c>
      <c r="D173" s="35" t="s">
        <v>351</v>
      </c>
      <c r="E173" s="197">
        <v>20000</v>
      </c>
      <c r="F173" s="197">
        <v>-18000</v>
      </c>
      <c r="G173" s="197">
        <f t="shared" si="23"/>
        <v>2000</v>
      </c>
      <c r="H173" s="197">
        <v>0</v>
      </c>
      <c r="I173" s="209">
        <f t="shared" si="21"/>
        <v>0</v>
      </c>
      <c r="J173" s="291">
        <f t="shared" si="22"/>
        <v>0</v>
      </c>
    </row>
    <row r="174" spans="1:10" ht="14.25" customHeight="1">
      <c r="A174" s="41" t="s">
        <v>569</v>
      </c>
      <c r="B174" s="34"/>
      <c r="C174" s="39">
        <v>415200</v>
      </c>
      <c r="D174" s="35" t="s">
        <v>562</v>
      </c>
      <c r="E174" s="185">
        <v>0</v>
      </c>
      <c r="F174" s="185">
        <v>8200</v>
      </c>
      <c r="G174" s="185">
        <f t="shared" si="23"/>
        <v>8200</v>
      </c>
      <c r="H174" s="185">
        <v>1525.4</v>
      </c>
      <c r="I174" s="209">
        <f t="shared" si="21"/>
        <v>18.602439024390243</v>
      </c>
      <c r="J174" s="291">
        <f t="shared" si="22"/>
        <v>0.012414429168457072</v>
      </c>
    </row>
    <row r="175" spans="1:10" ht="15" customHeight="1">
      <c r="A175" s="138"/>
      <c r="B175" s="34"/>
      <c r="C175" s="84"/>
      <c r="D175" s="47" t="s">
        <v>532</v>
      </c>
      <c r="E175" s="188">
        <f>E176+E183</f>
        <v>1822272.02</v>
      </c>
      <c r="F175" s="188">
        <f>F176+F183</f>
        <v>-57440</v>
      </c>
      <c r="G175" s="188">
        <f>G176+G183</f>
        <v>1764832.02</v>
      </c>
      <c r="H175" s="188">
        <f>H176+H183</f>
        <v>308105.78</v>
      </c>
      <c r="I175" s="188">
        <f t="shared" si="21"/>
        <v>17.458079664715058</v>
      </c>
      <c r="J175" s="317">
        <f t="shared" si="22"/>
        <v>2.507511067393613</v>
      </c>
    </row>
    <row r="176" spans="1:10" ht="15" customHeight="1">
      <c r="A176" s="138"/>
      <c r="B176" s="34"/>
      <c r="C176" s="84"/>
      <c r="D176" s="47" t="s">
        <v>373</v>
      </c>
      <c r="E176" s="323">
        <f>SUM(E177:E182)</f>
        <v>355500</v>
      </c>
      <c r="F176" s="323">
        <f>SUM(F177:F182)</f>
        <v>-57440</v>
      </c>
      <c r="G176" s="323">
        <f>SUM(G177:G182)</f>
        <v>298060</v>
      </c>
      <c r="H176" s="323">
        <f>SUM(H177:H182)</f>
        <v>234122.60000000003</v>
      </c>
      <c r="I176" s="323">
        <f t="shared" si="21"/>
        <v>78.54881567469639</v>
      </c>
      <c r="J176" s="325">
        <f t="shared" si="22"/>
        <v>1.905400835475946</v>
      </c>
    </row>
    <row r="177" spans="1:12" s="61" customFormat="1" ht="13.5" customHeight="1">
      <c r="A177" s="42" t="s">
        <v>31</v>
      </c>
      <c r="B177" s="97"/>
      <c r="C177" s="98">
        <v>511100</v>
      </c>
      <c r="D177" s="96" t="s">
        <v>508</v>
      </c>
      <c r="E177" s="272">
        <v>115000</v>
      </c>
      <c r="F177" s="272">
        <v>0</v>
      </c>
      <c r="G177" s="272">
        <f t="shared" si="23"/>
        <v>115000</v>
      </c>
      <c r="H177" s="272">
        <v>114797.36</v>
      </c>
      <c r="I177" s="209">
        <f t="shared" si="21"/>
        <v>99.82379130434784</v>
      </c>
      <c r="J177" s="291">
        <f t="shared" si="22"/>
        <v>0.9342753995318389</v>
      </c>
      <c r="K177" s="390"/>
      <c r="L177" s="399"/>
    </row>
    <row r="178" spans="1:12" s="61" customFormat="1" ht="13.5" customHeight="1">
      <c r="A178" s="444" t="s">
        <v>47</v>
      </c>
      <c r="B178" s="445"/>
      <c r="C178" s="446">
        <v>511100</v>
      </c>
      <c r="D178" s="447" t="s">
        <v>531</v>
      </c>
      <c r="E178" s="481">
        <v>130000</v>
      </c>
      <c r="F178" s="481">
        <v>0</v>
      </c>
      <c r="G178" s="481">
        <f t="shared" si="23"/>
        <v>130000</v>
      </c>
      <c r="H178" s="481">
        <v>0</v>
      </c>
      <c r="I178" s="448">
        <f t="shared" si="21"/>
        <v>0</v>
      </c>
      <c r="J178" s="291">
        <f t="shared" si="22"/>
        <v>0</v>
      </c>
      <c r="K178" s="390"/>
      <c r="L178" s="480"/>
    </row>
    <row r="179" spans="1:11" ht="36.75" customHeight="1">
      <c r="A179" s="444" t="s">
        <v>41</v>
      </c>
      <c r="B179" s="445"/>
      <c r="C179" s="446">
        <v>511200</v>
      </c>
      <c r="D179" s="447" t="s">
        <v>354</v>
      </c>
      <c r="E179" s="481">
        <v>100500</v>
      </c>
      <c r="F179" s="481">
        <v>-57440</v>
      </c>
      <c r="G179" s="481">
        <f t="shared" si="23"/>
        <v>43060</v>
      </c>
      <c r="H179" s="481">
        <v>42503.78</v>
      </c>
      <c r="I179" s="448">
        <f t="shared" si="21"/>
        <v>98.70826753367395</v>
      </c>
      <c r="J179" s="449">
        <f t="shared" si="22"/>
        <v>0.34591593431341433</v>
      </c>
      <c r="K179" s="475"/>
    </row>
    <row r="180" spans="1:11" ht="25.5" customHeight="1">
      <c r="A180" s="518" t="s">
        <v>41</v>
      </c>
      <c r="B180" s="445"/>
      <c r="C180" s="446">
        <v>511200</v>
      </c>
      <c r="D180" s="447" t="s">
        <v>567</v>
      </c>
      <c r="E180" s="481">
        <v>0</v>
      </c>
      <c r="F180" s="481">
        <v>0</v>
      </c>
      <c r="G180" s="481">
        <f t="shared" si="23"/>
        <v>0</v>
      </c>
      <c r="H180" s="481">
        <v>75529.76</v>
      </c>
      <c r="I180" s="448">
        <f>IF(G180&gt;0,H180/G180*100,0)</f>
        <v>0</v>
      </c>
      <c r="J180" s="449">
        <f t="shared" si="22"/>
        <v>0.6146970339783415</v>
      </c>
      <c r="K180" s="475"/>
    </row>
    <row r="181" spans="1:11" ht="24">
      <c r="A181" s="518" t="s">
        <v>41</v>
      </c>
      <c r="B181" s="445"/>
      <c r="C181" s="446">
        <v>511200</v>
      </c>
      <c r="D181" s="447" t="s">
        <v>570</v>
      </c>
      <c r="E181" s="481">
        <v>0</v>
      </c>
      <c r="F181" s="481">
        <v>0</v>
      </c>
      <c r="G181" s="481">
        <f t="shared" si="23"/>
        <v>0</v>
      </c>
      <c r="H181" s="481">
        <v>1291.7</v>
      </c>
      <c r="I181" s="448">
        <f>IF(G181&gt;0,H181/G181*100,0)</f>
        <v>0</v>
      </c>
      <c r="J181" s="449">
        <f t="shared" si="22"/>
        <v>0.010512467652350858</v>
      </c>
      <c r="K181" s="475"/>
    </row>
    <row r="182" spans="1:10" ht="15.75" customHeight="1">
      <c r="A182" s="42" t="s">
        <v>41</v>
      </c>
      <c r="B182" s="97"/>
      <c r="C182" s="98">
        <v>511200</v>
      </c>
      <c r="D182" s="96" t="s">
        <v>218</v>
      </c>
      <c r="E182" s="185">
        <v>10000</v>
      </c>
      <c r="F182" s="185">
        <v>0</v>
      </c>
      <c r="G182" s="185">
        <f t="shared" si="23"/>
        <v>10000</v>
      </c>
      <c r="H182" s="185">
        <v>0</v>
      </c>
      <c r="I182" s="209">
        <f t="shared" si="21"/>
        <v>0</v>
      </c>
      <c r="J182" s="291">
        <f t="shared" si="22"/>
        <v>0</v>
      </c>
    </row>
    <row r="183" spans="1:10" ht="15" customHeight="1">
      <c r="A183" s="42"/>
      <c r="B183" s="97"/>
      <c r="C183" s="98"/>
      <c r="D183" s="152" t="s">
        <v>374</v>
      </c>
      <c r="E183" s="323">
        <f>SUM(E184:E185)</f>
        <v>1466772.02</v>
      </c>
      <c r="F183" s="323">
        <f>SUM(F184:F185)</f>
        <v>0</v>
      </c>
      <c r="G183" s="323">
        <f>SUM(G184:G185)</f>
        <v>1466772.02</v>
      </c>
      <c r="H183" s="323">
        <f>SUM(H184:H185)</f>
        <v>73983.18</v>
      </c>
      <c r="I183" s="323">
        <f t="shared" si="21"/>
        <v>5.0439454115030085</v>
      </c>
      <c r="J183" s="325">
        <f t="shared" si="22"/>
        <v>0.6021102319176673</v>
      </c>
    </row>
    <row r="184" spans="1:10" ht="35.25" customHeight="1">
      <c r="A184" s="42" t="s">
        <v>41</v>
      </c>
      <c r="B184" s="97"/>
      <c r="C184" s="98">
        <v>511200</v>
      </c>
      <c r="D184" s="96" t="s">
        <v>533</v>
      </c>
      <c r="E184" s="185">
        <v>1216772.02</v>
      </c>
      <c r="F184" s="185">
        <v>0</v>
      </c>
      <c r="G184" s="185">
        <f t="shared" si="23"/>
        <v>1216772.02</v>
      </c>
      <c r="H184" s="185">
        <v>73983.18</v>
      </c>
      <c r="I184" s="197">
        <f t="shared" si="21"/>
        <v>6.080282812551853</v>
      </c>
      <c r="J184" s="408">
        <f t="shared" si="22"/>
        <v>0.6021102319176673</v>
      </c>
    </row>
    <row r="185" spans="1:10" ht="15" customHeight="1">
      <c r="A185" s="42" t="s">
        <v>529</v>
      </c>
      <c r="B185" s="97"/>
      <c r="C185" s="98">
        <v>511200</v>
      </c>
      <c r="D185" s="96" t="s">
        <v>528</v>
      </c>
      <c r="E185" s="477">
        <v>250000</v>
      </c>
      <c r="F185" s="477">
        <v>0</v>
      </c>
      <c r="G185" s="477">
        <f t="shared" si="23"/>
        <v>250000</v>
      </c>
      <c r="H185" s="477">
        <v>0</v>
      </c>
      <c r="I185" s="503">
        <f t="shared" si="21"/>
        <v>0</v>
      </c>
      <c r="J185" s="408">
        <f t="shared" si="22"/>
        <v>0</v>
      </c>
    </row>
    <row r="186" spans="1:10" ht="25.5" customHeight="1">
      <c r="A186" s="583"/>
      <c r="B186" s="584"/>
      <c r="C186" s="549" t="s">
        <v>87</v>
      </c>
      <c r="D186" s="550"/>
      <c r="E186" s="350">
        <f>E149+E155+E165+E172+E175</f>
        <v>2798872.02</v>
      </c>
      <c r="F186" s="350">
        <f>F149+F155+F165+F172+F175</f>
        <v>-15440</v>
      </c>
      <c r="G186" s="350">
        <f>G149+G155+G165+G172+G175</f>
        <v>2783432.02</v>
      </c>
      <c r="H186" s="350">
        <f>H149+H155+H165+H172+H175</f>
        <v>963665.34</v>
      </c>
      <c r="I186" s="351">
        <f t="shared" si="21"/>
        <v>34.62147927722697</v>
      </c>
      <c r="J186" s="357">
        <f t="shared" si="22"/>
        <v>7.842765901092894</v>
      </c>
    </row>
    <row r="187" spans="1:10" ht="9.75" customHeight="1">
      <c r="A187" s="556"/>
      <c r="B187" s="557"/>
      <c r="C187" s="545" t="s">
        <v>513</v>
      </c>
      <c r="D187" s="546"/>
      <c r="E187" s="173"/>
      <c r="F187" s="173"/>
      <c r="G187" s="173"/>
      <c r="H187" s="173"/>
      <c r="I187" s="173"/>
      <c r="J187" s="372"/>
    </row>
    <row r="188" spans="1:10" ht="9.75" customHeight="1">
      <c r="A188" s="556"/>
      <c r="B188" s="557"/>
      <c r="C188" s="545"/>
      <c r="D188" s="546"/>
      <c r="E188" s="174"/>
      <c r="F188" s="174"/>
      <c r="G188" s="174"/>
      <c r="H188" s="174"/>
      <c r="I188" s="174"/>
      <c r="J188" s="373"/>
    </row>
    <row r="189" spans="1:10" ht="9.75" customHeight="1">
      <c r="A189" s="556"/>
      <c r="B189" s="557"/>
      <c r="C189" s="545"/>
      <c r="D189" s="546"/>
      <c r="E189" s="174"/>
      <c r="F189" s="174"/>
      <c r="G189" s="174"/>
      <c r="H189" s="174"/>
      <c r="I189" s="174"/>
      <c r="J189" s="373"/>
    </row>
    <row r="190" spans="1:10" ht="9" customHeight="1">
      <c r="A190" s="556"/>
      <c r="B190" s="557"/>
      <c r="C190" s="545"/>
      <c r="D190" s="546"/>
      <c r="E190" s="175"/>
      <c r="F190" s="175"/>
      <c r="G190" s="175"/>
      <c r="H190" s="175"/>
      <c r="I190" s="175"/>
      <c r="J190" s="374"/>
    </row>
    <row r="191" spans="1:10" ht="14.25" customHeight="1">
      <c r="A191" s="138"/>
      <c r="B191" s="24">
        <v>412000</v>
      </c>
      <c r="C191" s="18"/>
      <c r="D191" s="33" t="s">
        <v>143</v>
      </c>
      <c r="E191" s="360">
        <f>SUM(E192:E194)</f>
        <v>6700</v>
      </c>
      <c r="F191" s="360">
        <f>SUM(F192:F194)</f>
        <v>0</v>
      </c>
      <c r="G191" s="360">
        <f>SUM(G192:G194)</f>
        <v>6700</v>
      </c>
      <c r="H191" s="360">
        <f>SUM(H192:H194)</f>
        <v>4192.23</v>
      </c>
      <c r="I191" s="360">
        <f aca="true" t="shared" si="24" ref="I191:I222">IF(G191&gt;0,H191/G191*100,0)</f>
        <v>62.57059701492537</v>
      </c>
      <c r="J191" s="359">
        <f aca="true" t="shared" si="25" ref="J191:J222">H191/$H$494*100</f>
        <v>0.03411835740978155</v>
      </c>
    </row>
    <row r="192" spans="1:10" ht="21.75" customHeight="1">
      <c r="A192" s="138" t="s">
        <v>36</v>
      </c>
      <c r="B192" s="34"/>
      <c r="C192" s="18">
        <v>412500</v>
      </c>
      <c r="D192" s="35" t="s">
        <v>139</v>
      </c>
      <c r="E192" s="197">
        <v>6000</v>
      </c>
      <c r="F192" s="197">
        <v>0</v>
      </c>
      <c r="G192" s="197">
        <f aca="true" t="shared" si="26" ref="G192:G221">E192+F192</f>
        <v>6000</v>
      </c>
      <c r="H192" s="197">
        <v>3925</v>
      </c>
      <c r="I192" s="209">
        <f t="shared" si="24"/>
        <v>65.41666666666667</v>
      </c>
      <c r="J192" s="291">
        <f t="shared" si="25"/>
        <v>0.031943512840038026</v>
      </c>
    </row>
    <row r="193" spans="1:10" ht="12.75" customHeight="1">
      <c r="A193" s="138" t="s">
        <v>27</v>
      </c>
      <c r="B193" s="34"/>
      <c r="C193" s="18">
        <v>412900</v>
      </c>
      <c r="D193" s="31" t="s">
        <v>0</v>
      </c>
      <c r="E193" s="197">
        <v>400</v>
      </c>
      <c r="F193" s="197">
        <v>0</v>
      </c>
      <c r="G193" s="197">
        <f t="shared" si="26"/>
        <v>400</v>
      </c>
      <c r="H193" s="197">
        <v>66.73</v>
      </c>
      <c r="I193" s="209">
        <f t="shared" si="24"/>
        <v>16.6825</v>
      </c>
      <c r="J193" s="291">
        <f t="shared" si="25"/>
        <v>0.000543080410653691</v>
      </c>
    </row>
    <row r="194" spans="1:10" ht="24" customHeight="1">
      <c r="A194" s="41" t="s">
        <v>37</v>
      </c>
      <c r="B194" s="34"/>
      <c r="C194" s="18">
        <v>412900</v>
      </c>
      <c r="D194" s="31" t="s">
        <v>113</v>
      </c>
      <c r="E194" s="197">
        <v>300</v>
      </c>
      <c r="F194" s="197">
        <v>0</v>
      </c>
      <c r="G194" s="197">
        <f t="shared" si="26"/>
        <v>300</v>
      </c>
      <c r="H194" s="197">
        <v>200.5</v>
      </c>
      <c r="I194" s="209">
        <f t="shared" si="24"/>
        <v>66.83333333333333</v>
      </c>
      <c r="J194" s="291">
        <f t="shared" si="25"/>
        <v>0.0016317641590898404</v>
      </c>
    </row>
    <row r="195" spans="1:10" ht="14.25" customHeight="1">
      <c r="A195" s="41"/>
      <c r="B195" s="94">
        <v>415000</v>
      </c>
      <c r="C195" s="18"/>
      <c r="D195" s="60" t="s">
        <v>157</v>
      </c>
      <c r="E195" s="188">
        <f>SUM(E196:E210)</f>
        <v>238800</v>
      </c>
      <c r="F195" s="188">
        <f>SUM(F196:F210)</f>
        <v>3008</v>
      </c>
      <c r="G195" s="188">
        <f>SUM(G196:G210)</f>
        <v>241808</v>
      </c>
      <c r="H195" s="188">
        <f>SUM(H196:H210)</f>
        <v>113100.5</v>
      </c>
      <c r="I195" s="188">
        <f t="shared" si="24"/>
        <v>46.77285284192417</v>
      </c>
      <c r="J195" s="317">
        <f t="shared" si="25"/>
        <v>0.9204655475069351</v>
      </c>
    </row>
    <row r="196" spans="1:10" ht="12.75" customHeight="1">
      <c r="A196" s="138" t="s">
        <v>47</v>
      </c>
      <c r="B196" s="100"/>
      <c r="C196" s="63">
        <v>415200</v>
      </c>
      <c r="D196" s="50" t="s">
        <v>225</v>
      </c>
      <c r="E196" s="185">
        <v>97000</v>
      </c>
      <c r="F196" s="185">
        <v>0</v>
      </c>
      <c r="G196" s="185">
        <f t="shared" si="26"/>
        <v>97000</v>
      </c>
      <c r="H196" s="185">
        <v>38800</v>
      </c>
      <c r="I196" s="209">
        <f t="shared" si="24"/>
        <v>40</v>
      </c>
      <c r="J196" s="291">
        <f t="shared" si="25"/>
        <v>0.3157728148263631</v>
      </c>
    </row>
    <row r="197" spans="1:10" ht="21.75" customHeight="1">
      <c r="A197" s="138" t="s">
        <v>47</v>
      </c>
      <c r="B197" s="100"/>
      <c r="C197" s="63">
        <v>415200</v>
      </c>
      <c r="D197" s="50" t="s">
        <v>339</v>
      </c>
      <c r="E197" s="185">
        <v>0</v>
      </c>
      <c r="F197" s="185">
        <v>2580</v>
      </c>
      <c r="G197" s="185">
        <f t="shared" si="26"/>
        <v>2580</v>
      </c>
      <c r="H197" s="185">
        <v>2080</v>
      </c>
      <c r="I197" s="209">
        <f t="shared" si="24"/>
        <v>80.62015503875969</v>
      </c>
      <c r="J197" s="291">
        <f t="shared" si="25"/>
        <v>0.01692802718656792</v>
      </c>
    </row>
    <row r="198" spans="1:12" ht="24">
      <c r="A198" s="138" t="s">
        <v>47</v>
      </c>
      <c r="B198" s="100"/>
      <c r="C198" s="63">
        <v>415200</v>
      </c>
      <c r="D198" s="50" t="s">
        <v>367</v>
      </c>
      <c r="E198" s="185">
        <v>28000</v>
      </c>
      <c r="F198" s="185">
        <v>0</v>
      </c>
      <c r="G198" s="185">
        <f t="shared" si="26"/>
        <v>28000</v>
      </c>
      <c r="H198" s="185">
        <v>28000</v>
      </c>
      <c r="I198" s="209">
        <f t="shared" si="24"/>
        <v>100</v>
      </c>
      <c r="J198" s="291">
        <f t="shared" si="25"/>
        <v>0.2278772890499528</v>
      </c>
      <c r="L198" s="478"/>
    </row>
    <row r="199" spans="1:10" ht="12.75" customHeight="1">
      <c r="A199" s="138" t="s">
        <v>47</v>
      </c>
      <c r="B199" s="100"/>
      <c r="C199" s="63">
        <v>415200</v>
      </c>
      <c r="D199" s="50" t="s">
        <v>226</v>
      </c>
      <c r="E199" s="185">
        <v>26000</v>
      </c>
      <c r="F199" s="185">
        <v>0</v>
      </c>
      <c r="G199" s="185">
        <f t="shared" si="26"/>
        <v>26000</v>
      </c>
      <c r="H199" s="185">
        <v>10400</v>
      </c>
      <c r="I199" s="209">
        <f t="shared" si="24"/>
        <v>40</v>
      </c>
      <c r="J199" s="291">
        <f t="shared" si="25"/>
        <v>0.0846401359328396</v>
      </c>
    </row>
    <row r="200" spans="1:10" ht="24" customHeight="1">
      <c r="A200" s="138" t="s">
        <v>47</v>
      </c>
      <c r="B200" s="100"/>
      <c r="C200" s="63">
        <v>415200</v>
      </c>
      <c r="D200" s="50" t="s">
        <v>227</v>
      </c>
      <c r="E200" s="185">
        <v>31000</v>
      </c>
      <c r="F200" s="185">
        <v>0</v>
      </c>
      <c r="G200" s="185">
        <f t="shared" si="26"/>
        <v>31000</v>
      </c>
      <c r="H200" s="185">
        <v>12400</v>
      </c>
      <c r="I200" s="209">
        <f t="shared" si="24"/>
        <v>40</v>
      </c>
      <c r="J200" s="291">
        <f t="shared" si="25"/>
        <v>0.10091708515069338</v>
      </c>
    </row>
    <row r="201" spans="1:10" ht="13.5" customHeight="1">
      <c r="A201" s="138" t="s">
        <v>47</v>
      </c>
      <c r="B201" s="100"/>
      <c r="C201" s="63">
        <v>415200</v>
      </c>
      <c r="D201" s="50" t="s">
        <v>337</v>
      </c>
      <c r="E201" s="185">
        <v>8000</v>
      </c>
      <c r="F201" s="185">
        <v>0</v>
      </c>
      <c r="G201" s="185">
        <f t="shared" si="26"/>
        <v>8000</v>
      </c>
      <c r="H201" s="185">
        <v>3200</v>
      </c>
      <c r="I201" s="209">
        <f t="shared" si="24"/>
        <v>40</v>
      </c>
      <c r="J201" s="291">
        <f t="shared" si="25"/>
        <v>0.026043118748566033</v>
      </c>
    </row>
    <row r="202" spans="1:10" ht="13.5" customHeight="1">
      <c r="A202" s="138" t="s">
        <v>47</v>
      </c>
      <c r="B202" s="100"/>
      <c r="C202" s="63">
        <v>415200</v>
      </c>
      <c r="D202" s="50" t="s">
        <v>228</v>
      </c>
      <c r="E202" s="185">
        <v>5000</v>
      </c>
      <c r="F202" s="185">
        <v>0</v>
      </c>
      <c r="G202" s="185">
        <f t="shared" si="26"/>
        <v>5000</v>
      </c>
      <c r="H202" s="185">
        <v>2000</v>
      </c>
      <c r="I202" s="209">
        <f t="shared" si="24"/>
        <v>40</v>
      </c>
      <c r="J202" s="291">
        <f t="shared" si="25"/>
        <v>0.01627694921785377</v>
      </c>
    </row>
    <row r="203" spans="1:10" ht="13.5" customHeight="1">
      <c r="A203" s="138" t="s">
        <v>47</v>
      </c>
      <c r="B203" s="100"/>
      <c r="C203" s="63">
        <v>415200</v>
      </c>
      <c r="D203" s="50" t="s">
        <v>440</v>
      </c>
      <c r="E203" s="185">
        <v>5000</v>
      </c>
      <c r="F203" s="185">
        <v>0</v>
      </c>
      <c r="G203" s="185">
        <f t="shared" si="26"/>
        <v>5000</v>
      </c>
      <c r="H203" s="185">
        <v>2000</v>
      </c>
      <c r="I203" s="209">
        <f t="shared" si="24"/>
        <v>40</v>
      </c>
      <c r="J203" s="291">
        <f t="shared" si="25"/>
        <v>0.01627694921785377</v>
      </c>
    </row>
    <row r="204" spans="1:10" ht="24" customHeight="1" hidden="1">
      <c r="A204" s="138" t="s">
        <v>47</v>
      </c>
      <c r="B204" s="100"/>
      <c r="C204" s="63">
        <v>415200</v>
      </c>
      <c r="D204" s="50" t="s">
        <v>461</v>
      </c>
      <c r="E204" s="197">
        <v>0</v>
      </c>
      <c r="F204" s="185">
        <v>0</v>
      </c>
      <c r="G204" s="197">
        <f t="shared" si="26"/>
        <v>0</v>
      </c>
      <c r="H204" s="197"/>
      <c r="I204" s="209">
        <f t="shared" si="24"/>
        <v>0</v>
      </c>
      <c r="J204" s="291">
        <f t="shared" si="25"/>
        <v>0</v>
      </c>
    </row>
    <row r="205" spans="1:10" ht="27" customHeight="1">
      <c r="A205" s="138" t="s">
        <v>47</v>
      </c>
      <c r="B205" s="100"/>
      <c r="C205" s="63">
        <v>415200</v>
      </c>
      <c r="D205" s="50" t="s">
        <v>284</v>
      </c>
      <c r="E205" s="197">
        <v>2800</v>
      </c>
      <c r="F205" s="185">
        <v>0</v>
      </c>
      <c r="G205" s="197">
        <f t="shared" si="26"/>
        <v>2800</v>
      </c>
      <c r="H205" s="197">
        <v>1318</v>
      </c>
      <c r="I205" s="209">
        <f t="shared" si="24"/>
        <v>47.07142857142857</v>
      </c>
      <c r="J205" s="291">
        <f t="shared" si="25"/>
        <v>0.010726509534565635</v>
      </c>
    </row>
    <row r="206" spans="1:10" ht="35.25" customHeight="1">
      <c r="A206" s="138" t="s">
        <v>47</v>
      </c>
      <c r="B206" s="100"/>
      <c r="C206" s="63">
        <v>415200</v>
      </c>
      <c r="D206" s="50" t="s">
        <v>564</v>
      </c>
      <c r="E206" s="197">
        <v>0</v>
      </c>
      <c r="F206" s="185">
        <v>428</v>
      </c>
      <c r="G206" s="197">
        <f t="shared" si="26"/>
        <v>428</v>
      </c>
      <c r="H206" s="197">
        <v>428</v>
      </c>
      <c r="I206" s="209">
        <f>IF(G206&gt;0,H206/G206*100,0)</f>
        <v>100</v>
      </c>
      <c r="J206" s="291">
        <f t="shared" si="25"/>
        <v>0.003483267132620707</v>
      </c>
    </row>
    <row r="207" spans="1:10" ht="24.75" customHeight="1">
      <c r="A207" s="138" t="s">
        <v>47</v>
      </c>
      <c r="B207" s="100"/>
      <c r="C207" s="63">
        <v>415200</v>
      </c>
      <c r="D207" s="50" t="s">
        <v>286</v>
      </c>
      <c r="E207" s="197">
        <v>6000</v>
      </c>
      <c r="F207" s="185">
        <v>0</v>
      </c>
      <c r="G207" s="197">
        <f t="shared" si="26"/>
        <v>6000</v>
      </c>
      <c r="H207" s="197">
        <v>1804.5</v>
      </c>
      <c r="I207" s="209">
        <f t="shared" si="24"/>
        <v>30.075000000000003</v>
      </c>
      <c r="J207" s="291">
        <f t="shared" si="25"/>
        <v>0.014685877431808565</v>
      </c>
    </row>
    <row r="208" spans="1:10" ht="24" customHeight="1">
      <c r="A208" s="41" t="s">
        <v>47</v>
      </c>
      <c r="B208" s="101"/>
      <c r="C208" s="98">
        <v>415200</v>
      </c>
      <c r="D208" s="96" t="s">
        <v>215</v>
      </c>
      <c r="E208" s="185">
        <v>30000</v>
      </c>
      <c r="F208" s="185">
        <v>0</v>
      </c>
      <c r="G208" s="185">
        <f t="shared" si="26"/>
        <v>30000</v>
      </c>
      <c r="H208" s="185">
        <v>10670</v>
      </c>
      <c r="I208" s="209">
        <f t="shared" si="24"/>
        <v>35.56666666666667</v>
      </c>
      <c r="J208" s="291">
        <f t="shared" si="25"/>
        <v>0.08683752407724986</v>
      </c>
    </row>
    <row r="209" spans="1:10" ht="24" hidden="1">
      <c r="A209" s="42" t="s">
        <v>47</v>
      </c>
      <c r="B209" s="101"/>
      <c r="C209" s="98">
        <v>415200</v>
      </c>
      <c r="D209" s="96" t="s">
        <v>331</v>
      </c>
      <c r="E209" s="209">
        <v>0</v>
      </c>
      <c r="F209" s="209"/>
      <c r="G209" s="209">
        <f t="shared" si="26"/>
        <v>0</v>
      </c>
      <c r="H209" s="209"/>
      <c r="I209" s="209">
        <f t="shared" si="24"/>
        <v>0</v>
      </c>
      <c r="J209" s="291">
        <f t="shared" si="25"/>
        <v>0</v>
      </c>
    </row>
    <row r="210" spans="1:10" ht="26.25" customHeight="1" hidden="1">
      <c r="A210" s="42" t="s">
        <v>47</v>
      </c>
      <c r="B210" s="101"/>
      <c r="C210" s="98">
        <v>415200</v>
      </c>
      <c r="D210" s="96" t="s">
        <v>385</v>
      </c>
      <c r="E210" s="197">
        <v>0</v>
      </c>
      <c r="F210" s="197"/>
      <c r="G210" s="197">
        <f t="shared" si="26"/>
        <v>0</v>
      </c>
      <c r="H210" s="197"/>
      <c r="I210" s="209">
        <f t="shared" si="24"/>
        <v>0</v>
      </c>
      <c r="J210" s="291">
        <f t="shared" si="25"/>
        <v>0</v>
      </c>
    </row>
    <row r="211" spans="1:12" s="112" customFormat="1" ht="14.25" customHeight="1">
      <c r="A211" s="42"/>
      <c r="B211" s="97">
        <v>416000</v>
      </c>
      <c r="C211" s="151"/>
      <c r="D211" s="152" t="s">
        <v>1</v>
      </c>
      <c r="E211" s="224">
        <f>SUM(E212:E213)</f>
        <v>50000</v>
      </c>
      <c r="F211" s="224">
        <f>SUM(F212:F213)</f>
        <v>200</v>
      </c>
      <c r="G211" s="224">
        <f>SUM(G212:G213)</f>
        <v>50200</v>
      </c>
      <c r="H211" s="224">
        <f>SUM(H212:H213)</f>
        <v>19200</v>
      </c>
      <c r="I211" s="188">
        <f t="shared" si="24"/>
        <v>38.24701195219124</v>
      </c>
      <c r="J211" s="317">
        <f t="shared" si="25"/>
        <v>0.1562587124913962</v>
      </c>
      <c r="K211" s="392"/>
      <c r="L211" s="398"/>
    </row>
    <row r="212" spans="1:12" s="112" customFormat="1" ht="23.25" customHeight="1">
      <c r="A212" s="42" t="s">
        <v>33</v>
      </c>
      <c r="B212" s="150"/>
      <c r="C212" s="38">
        <v>416100</v>
      </c>
      <c r="D212" s="44" t="s">
        <v>288</v>
      </c>
      <c r="E212" s="272">
        <v>50000</v>
      </c>
      <c r="F212" s="272">
        <v>0</v>
      </c>
      <c r="G212" s="272">
        <f t="shared" si="26"/>
        <v>50000</v>
      </c>
      <c r="H212" s="272">
        <v>19000</v>
      </c>
      <c r="I212" s="209">
        <f t="shared" si="24"/>
        <v>38</v>
      </c>
      <c r="J212" s="291">
        <f t="shared" si="25"/>
        <v>0.1546310175696108</v>
      </c>
      <c r="K212" s="406"/>
      <c r="L212" s="398"/>
    </row>
    <row r="213" spans="1:12" s="112" customFormat="1" ht="23.25" customHeight="1">
      <c r="A213" s="42" t="s">
        <v>33</v>
      </c>
      <c r="B213" s="150"/>
      <c r="C213" s="38">
        <v>416100</v>
      </c>
      <c r="D213" s="44" t="s">
        <v>563</v>
      </c>
      <c r="E213" s="272">
        <v>0</v>
      </c>
      <c r="F213" s="272">
        <v>200</v>
      </c>
      <c r="G213" s="272">
        <f t="shared" si="26"/>
        <v>200</v>
      </c>
      <c r="H213" s="272">
        <v>200</v>
      </c>
      <c r="I213" s="209">
        <f>IF(G213&gt;0,H213/G213*100,0)</f>
        <v>100</v>
      </c>
      <c r="J213" s="291">
        <f t="shared" si="25"/>
        <v>0.001627694921785377</v>
      </c>
      <c r="K213" s="406"/>
      <c r="L213" s="398"/>
    </row>
    <row r="214" spans="1:10" ht="15" customHeight="1">
      <c r="A214" s="138"/>
      <c r="B214" s="24">
        <v>511000</v>
      </c>
      <c r="C214" s="38"/>
      <c r="D214" s="33" t="s">
        <v>161</v>
      </c>
      <c r="E214" s="188">
        <f>SUM(E215:E216)</f>
        <v>30000</v>
      </c>
      <c r="F214" s="188">
        <f>SUM(F215:F216)</f>
        <v>0</v>
      </c>
      <c r="G214" s="188">
        <f>SUM(G215:G216)</f>
        <v>30000</v>
      </c>
      <c r="H214" s="188">
        <f>SUM(H215:H216)</f>
        <v>0</v>
      </c>
      <c r="I214" s="188">
        <f t="shared" si="24"/>
        <v>0</v>
      </c>
      <c r="J214" s="317">
        <f t="shared" si="25"/>
        <v>0</v>
      </c>
    </row>
    <row r="215" spans="1:10" ht="24">
      <c r="A215" s="138" t="s">
        <v>47</v>
      </c>
      <c r="B215" s="24"/>
      <c r="C215" s="38">
        <v>511100</v>
      </c>
      <c r="D215" s="31" t="s">
        <v>293</v>
      </c>
      <c r="E215" s="197">
        <v>30000</v>
      </c>
      <c r="F215" s="197">
        <v>0</v>
      </c>
      <c r="G215" s="197">
        <f t="shared" si="26"/>
        <v>30000</v>
      </c>
      <c r="H215" s="197">
        <v>0</v>
      </c>
      <c r="I215" s="209">
        <f t="shared" si="24"/>
        <v>0</v>
      </c>
      <c r="J215" s="291">
        <f t="shared" si="25"/>
        <v>0</v>
      </c>
    </row>
    <row r="216" spans="1:10" ht="23.25" customHeight="1" hidden="1">
      <c r="A216" s="138" t="s">
        <v>47</v>
      </c>
      <c r="B216" s="24"/>
      <c r="C216" s="38">
        <v>511100</v>
      </c>
      <c r="D216" s="31" t="s">
        <v>545</v>
      </c>
      <c r="E216" s="197">
        <v>0</v>
      </c>
      <c r="F216" s="197">
        <v>0</v>
      </c>
      <c r="G216" s="197">
        <f t="shared" si="26"/>
        <v>0</v>
      </c>
      <c r="H216" s="197">
        <v>0</v>
      </c>
      <c r="I216" s="209">
        <f>IF(G216&gt;0,H216/G216*100,0)</f>
        <v>0</v>
      </c>
      <c r="J216" s="291">
        <f t="shared" si="25"/>
        <v>0</v>
      </c>
    </row>
    <row r="217" spans="1:10" ht="24" customHeight="1">
      <c r="A217" s="138"/>
      <c r="B217" s="24"/>
      <c r="C217" s="38"/>
      <c r="D217" s="33" t="s">
        <v>350</v>
      </c>
      <c r="E217" s="334">
        <f>SUM(E218:E221)</f>
        <v>28000</v>
      </c>
      <c r="F217" s="334">
        <f>SUM(F218:F221)</f>
        <v>0</v>
      </c>
      <c r="G217" s="334">
        <f>SUM(G218:G221)</f>
        <v>28000</v>
      </c>
      <c r="H217" s="334">
        <f>SUM(H218:H221)</f>
        <v>0</v>
      </c>
      <c r="I217" s="334">
        <f t="shared" si="24"/>
        <v>0</v>
      </c>
      <c r="J217" s="450">
        <f t="shared" si="25"/>
        <v>0</v>
      </c>
    </row>
    <row r="218" spans="1:10" ht="12.75">
      <c r="A218" s="138" t="s">
        <v>59</v>
      </c>
      <c r="B218" s="24"/>
      <c r="C218" s="38">
        <v>412900</v>
      </c>
      <c r="D218" s="31" t="s">
        <v>329</v>
      </c>
      <c r="E218" s="320">
        <v>2000</v>
      </c>
      <c r="F218" s="320">
        <v>0</v>
      </c>
      <c r="G218" s="320">
        <f t="shared" si="26"/>
        <v>2000</v>
      </c>
      <c r="H218" s="320">
        <v>0</v>
      </c>
      <c r="I218" s="320">
        <f t="shared" si="24"/>
        <v>0</v>
      </c>
      <c r="J218" s="291">
        <f t="shared" si="25"/>
        <v>0</v>
      </c>
    </row>
    <row r="219" spans="1:10" ht="23.25" customHeight="1">
      <c r="A219" s="138" t="s">
        <v>59</v>
      </c>
      <c r="B219" s="24"/>
      <c r="C219" s="38">
        <v>412900</v>
      </c>
      <c r="D219" s="31" t="s">
        <v>384</v>
      </c>
      <c r="E219" s="320">
        <v>2000</v>
      </c>
      <c r="F219" s="320">
        <v>0</v>
      </c>
      <c r="G219" s="320">
        <f t="shared" si="26"/>
        <v>2000</v>
      </c>
      <c r="H219" s="320">
        <v>0</v>
      </c>
      <c r="I219" s="320">
        <f t="shared" si="24"/>
        <v>0</v>
      </c>
      <c r="J219" s="291">
        <f t="shared" si="25"/>
        <v>0</v>
      </c>
    </row>
    <row r="220" spans="1:10" ht="14.25" customHeight="1">
      <c r="A220" s="138" t="s">
        <v>33</v>
      </c>
      <c r="B220" s="24"/>
      <c r="C220" s="38">
        <v>416100</v>
      </c>
      <c r="D220" s="31" t="s">
        <v>224</v>
      </c>
      <c r="E220" s="320">
        <v>20000</v>
      </c>
      <c r="F220" s="320">
        <v>0</v>
      </c>
      <c r="G220" s="320">
        <f t="shared" si="26"/>
        <v>20000</v>
      </c>
      <c r="H220" s="320">
        <v>0</v>
      </c>
      <c r="I220" s="320">
        <f t="shared" si="24"/>
        <v>0</v>
      </c>
      <c r="J220" s="291">
        <f t="shared" si="25"/>
        <v>0</v>
      </c>
    </row>
    <row r="221" spans="1:10" ht="12.75">
      <c r="A221" s="138" t="s">
        <v>59</v>
      </c>
      <c r="B221" s="24"/>
      <c r="C221" s="38">
        <v>511300</v>
      </c>
      <c r="D221" s="31" t="s">
        <v>330</v>
      </c>
      <c r="E221" s="320">
        <v>4000</v>
      </c>
      <c r="F221" s="320">
        <v>0</v>
      </c>
      <c r="G221" s="320">
        <f t="shared" si="26"/>
        <v>4000</v>
      </c>
      <c r="H221" s="320">
        <v>0</v>
      </c>
      <c r="I221" s="320">
        <f t="shared" si="24"/>
        <v>0</v>
      </c>
      <c r="J221" s="291">
        <f t="shared" si="25"/>
        <v>0</v>
      </c>
    </row>
    <row r="222" spans="1:10" ht="26.25" customHeight="1">
      <c r="A222" s="556"/>
      <c r="B222" s="557"/>
      <c r="C222" s="549" t="s">
        <v>88</v>
      </c>
      <c r="D222" s="550"/>
      <c r="E222" s="72">
        <f>E191+E195+E211+E214+E217</f>
        <v>353500</v>
      </c>
      <c r="F222" s="72">
        <f>F191+F195+F211+F214+F217</f>
        <v>3208</v>
      </c>
      <c r="G222" s="72">
        <f>G191+G195+G211+G214+G217</f>
        <v>356708</v>
      </c>
      <c r="H222" s="72">
        <f>H191+H195+H211+H214+H217</f>
        <v>136492.72999999998</v>
      </c>
      <c r="I222" s="326">
        <f t="shared" si="24"/>
        <v>38.264555322560746</v>
      </c>
      <c r="J222" s="327">
        <f t="shared" si="25"/>
        <v>1.1108426174081127</v>
      </c>
    </row>
    <row r="223" spans="1:10" ht="9.75" customHeight="1">
      <c r="A223" s="556"/>
      <c r="B223" s="557"/>
      <c r="C223" s="545" t="s">
        <v>125</v>
      </c>
      <c r="D223" s="552"/>
      <c r="E223" s="176"/>
      <c r="F223" s="176"/>
      <c r="G223" s="176"/>
      <c r="H223" s="176"/>
      <c r="I223" s="176"/>
      <c r="J223" s="375"/>
    </row>
    <row r="224" spans="1:10" ht="9.75" customHeight="1">
      <c r="A224" s="556"/>
      <c r="B224" s="557"/>
      <c r="C224" s="553"/>
      <c r="D224" s="552"/>
      <c r="E224" s="177"/>
      <c r="F224" s="177"/>
      <c r="G224" s="177"/>
      <c r="H224" s="177"/>
      <c r="I224" s="177"/>
      <c r="J224" s="376"/>
    </row>
    <row r="225" spans="1:10" ht="19.5" customHeight="1">
      <c r="A225" s="556"/>
      <c r="B225" s="557"/>
      <c r="C225" s="553"/>
      <c r="D225" s="552"/>
      <c r="E225" s="178"/>
      <c r="F225" s="178"/>
      <c r="G225" s="178"/>
      <c r="H225" s="178"/>
      <c r="I225" s="178"/>
      <c r="J225" s="377"/>
    </row>
    <row r="226" spans="1:10" ht="14.25" customHeight="1">
      <c r="A226" s="138"/>
      <c r="B226" s="24">
        <v>412000</v>
      </c>
      <c r="C226" s="34"/>
      <c r="D226" s="33" t="s">
        <v>143</v>
      </c>
      <c r="E226" s="360">
        <f>SUM(E227:E231)</f>
        <v>37400</v>
      </c>
      <c r="F226" s="360">
        <f>SUM(F227:F231)</f>
        <v>0</v>
      </c>
      <c r="G226" s="360">
        <f>SUM(G227:G231)</f>
        <v>37400</v>
      </c>
      <c r="H226" s="360">
        <f>SUM(H227:H231)</f>
        <v>10773.07</v>
      </c>
      <c r="I226" s="360">
        <f aca="true" t="shared" si="27" ref="I226:I232">IF(G226&gt;0,H226/G226*100,0)</f>
        <v>28.804999999999996</v>
      </c>
      <c r="J226" s="359">
        <f aca="true" t="shared" si="28" ref="J226:J232">H226/$H$494*100</f>
        <v>0.08767635665519195</v>
      </c>
    </row>
    <row r="227" spans="1:10" ht="15.75" customHeight="1">
      <c r="A227" s="138" t="s">
        <v>37</v>
      </c>
      <c r="B227" s="24"/>
      <c r="C227" s="18">
        <v>412700</v>
      </c>
      <c r="D227" s="44" t="s">
        <v>109</v>
      </c>
      <c r="E227" s="198">
        <v>10000</v>
      </c>
      <c r="F227" s="198">
        <v>0</v>
      </c>
      <c r="G227" s="198">
        <f>E227+F227</f>
        <v>10000</v>
      </c>
      <c r="H227" s="198">
        <v>3675.27</v>
      </c>
      <c r="I227" s="209">
        <f t="shared" si="27"/>
        <v>36.7527</v>
      </c>
      <c r="J227" s="291">
        <f t="shared" si="28"/>
        <v>0.02991109157595071</v>
      </c>
    </row>
    <row r="228" spans="1:10" ht="21.75" customHeight="1">
      <c r="A228" s="42" t="s">
        <v>37</v>
      </c>
      <c r="B228" s="43"/>
      <c r="C228" s="38">
        <v>412700</v>
      </c>
      <c r="D228" s="44" t="s">
        <v>130</v>
      </c>
      <c r="E228" s="198">
        <v>2000</v>
      </c>
      <c r="F228" s="198">
        <v>0</v>
      </c>
      <c r="G228" s="198">
        <f>E228+F228</f>
        <v>2000</v>
      </c>
      <c r="H228" s="198">
        <v>1280</v>
      </c>
      <c r="I228" s="209">
        <f t="shared" si="27"/>
        <v>64</v>
      </c>
      <c r="J228" s="291">
        <f t="shared" si="28"/>
        <v>0.010417247499426413</v>
      </c>
    </row>
    <row r="229" spans="1:12" ht="24.75" customHeight="1">
      <c r="A229" s="42" t="s">
        <v>37</v>
      </c>
      <c r="B229" s="43"/>
      <c r="C229" s="39">
        <v>412700</v>
      </c>
      <c r="D229" s="35" t="s">
        <v>208</v>
      </c>
      <c r="E229" s="197">
        <v>15000</v>
      </c>
      <c r="F229" s="197">
        <v>0</v>
      </c>
      <c r="G229" s="197">
        <f>E229+F229</f>
        <v>15000</v>
      </c>
      <c r="H229" s="197">
        <v>5618.34</v>
      </c>
      <c r="I229" s="209">
        <f t="shared" si="27"/>
        <v>37.4556</v>
      </c>
      <c r="J229" s="291">
        <f t="shared" si="28"/>
        <v>0.04572471743431828</v>
      </c>
      <c r="L229" s="479"/>
    </row>
    <row r="230" spans="1:10" ht="24.75" customHeight="1">
      <c r="A230" s="41" t="s">
        <v>186</v>
      </c>
      <c r="B230" s="34"/>
      <c r="C230" s="39">
        <v>412700</v>
      </c>
      <c r="D230" s="35" t="s">
        <v>332</v>
      </c>
      <c r="E230" s="197">
        <v>10000</v>
      </c>
      <c r="F230" s="197">
        <v>0</v>
      </c>
      <c r="G230" s="197">
        <f>E230+F230</f>
        <v>10000</v>
      </c>
      <c r="H230" s="197">
        <v>0</v>
      </c>
      <c r="I230" s="209">
        <f t="shared" si="27"/>
        <v>0</v>
      </c>
      <c r="J230" s="291">
        <f t="shared" si="28"/>
        <v>0</v>
      </c>
    </row>
    <row r="231" spans="1:10" ht="12.75" customHeight="1">
      <c r="A231" s="138" t="s">
        <v>27</v>
      </c>
      <c r="B231" s="34"/>
      <c r="C231" s="18">
        <v>412900</v>
      </c>
      <c r="D231" s="31" t="s">
        <v>48</v>
      </c>
      <c r="E231" s="198">
        <v>400</v>
      </c>
      <c r="F231" s="198">
        <v>0</v>
      </c>
      <c r="G231" s="198">
        <f>E231+F231</f>
        <v>400</v>
      </c>
      <c r="H231" s="198">
        <v>199.46</v>
      </c>
      <c r="I231" s="209">
        <f t="shared" si="27"/>
        <v>49.865</v>
      </c>
      <c r="J231" s="291">
        <f t="shared" si="28"/>
        <v>0.0016233001454965565</v>
      </c>
    </row>
    <row r="232" spans="1:10" ht="25.5" customHeight="1">
      <c r="A232" s="556"/>
      <c r="B232" s="557"/>
      <c r="C232" s="549" t="s">
        <v>89</v>
      </c>
      <c r="D232" s="549"/>
      <c r="E232" s="350">
        <f>E226</f>
        <v>37400</v>
      </c>
      <c r="F232" s="350">
        <f>F226</f>
        <v>0</v>
      </c>
      <c r="G232" s="350">
        <f>G226</f>
        <v>37400</v>
      </c>
      <c r="H232" s="350">
        <f>H226</f>
        <v>10773.07</v>
      </c>
      <c r="I232" s="351">
        <f t="shared" si="27"/>
        <v>28.804999999999996</v>
      </c>
      <c r="J232" s="357">
        <f t="shared" si="28"/>
        <v>0.08767635665519195</v>
      </c>
    </row>
    <row r="233" spans="1:10" ht="9.75" customHeight="1">
      <c r="A233" s="554"/>
      <c r="B233" s="555"/>
      <c r="C233" s="545" t="s">
        <v>237</v>
      </c>
      <c r="D233" s="552"/>
      <c r="E233" s="176"/>
      <c r="F233" s="176"/>
      <c r="G233" s="176"/>
      <c r="H233" s="176"/>
      <c r="I233" s="176"/>
      <c r="J233" s="375"/>
    </row>
    <row r="234" spans="1:10" ht="9.75" customHeight="1">
      <c r="A234" s="554"/>
      <c r="B234" s="555"/>
      <c r="C234" s="553"/>
      <c r="D234" s="552"/>
      <c r="E234" s="177"/>
      <c r="F234" s="177"/>
      <c r="G234" s="177"/>
      <c r="H234" s="177"/>
      <c r="I234" s="177"/>
      <c r="J234" s="376"/>
    </row>
    <row r="235" spans="1:10" ht="30" customHeight="1">
      <c r="A235" s="554"/>
      <c r="B235" s="555"/>
      <c r="C235" s="553"/>
      <c r="D235" s="552"/>
      <c r="E235" s="178"/>
      <c r="F235" s="178"/>
      <c r="G235" s="178"/>
      <c r="H235" s="178"/>
      <c r="I235" s="178"/>
      <c r="J235" s="377"/>
    </row>
    <row r="236" spans="1:10" ht="14.25" customHeight="1">
      <c r="A236" s="138"/>
      <c r="B236" s="24">
        <v>412000</v>
      </c>
      <c r="C236" s="18"/>
      <c r="D236" s="33" t="s">
        <v>143</v>
      </c>
      <c r="E236" s="360">
        <f>SUM(E237:E240)</f>
        <v>52400</v>
      </c>
      <c r="F236" s="360">
        <f>SUM(F237:F240)</f>
        <v>0</v>
      </c>
      <c r="G236" s="360">
        <f>SUM(G237:G240)</f>
        <v>52400</v>
      </c>
      <c r="H236" s="360">
        <f>SUM(H237:H240)</f>
        <v>23651.62</v>
      </c>
      <c r="I236" s="360">
        <f aca="true" t="shared" si="29" ref="I236:I255">IF(G236&gt;0,H236/G236*100,0)</f>
        <v>45.136679389312974</v>
      </c>
      <c r="J236" s="361">
        <f aca="true" t="shared" si="30" ref="J236:J255">H236/$H$494*100</f>
        <v>0.1924881088299873</v>
      </c>
    </row>
    <row r="237" spans="1:10" ht="12.75">
      <c r="A237" s="41" t="s">
        <v>50</v>
      </c>
      <c r="B237" s="34"/>
      <c r="C237" s="39">
        <v>412700</v>
      </c>
      <c r="D237" s="34" t="s">
        <v>49</v>
      </c>
      <c r="E237" s="197">
        <v>2000</v>
      </c>
      <c r="F237" s="197">
        <v>0</v>
      </c>
      <c r="G237" s="197">
        <f aca="true" t="shared" si="31" ref="G237:G254">E237+F237</f>
        <v>2000</v>
      </c>
      <c r="H237" s="197">
        <v>1000</v>
      </c>
      <c r="I237" s="209">
        <f t="shared" si="29"/>
        <v>50</v>
      </c>
      <c r="J237" s="321">
        <f t="shared" si="30"/>
        <v>0.008138474608926884</v>
      </c>
    </row>
    <row r="238" spans="1:10" ht="12.75">
      <c r="A238" s="138" t="s">
        <v>50</v>
      </c>
      <c r="B238" s="34"/>
      <c r="C238" s="39">
        <v>412700</v>
      </c>
      <c r="D238" s="31" t="s">
        <v>110</v>
      </c>
      <c r="E238" s="197">
        <v>50000</v>
      </c>
      <c r="F238" s="197">
        <v>0</v>
      </c>
      <c r="G238" s="197">
        <f t="shared" si="31"/>
        <v>50000</v>
      </c>
      <c r="H238" s="197">
        <v>22500</v>
      </c>
      <c r="I238" s="209">
        <f t="shared" si="29"/>
        <v>45</v>
      </c>
      <c r="J238" s="321">
        <f t="shared" si="30"/>
        <v>0.1831156787008549</v>
      </c>
    </row>
    <row r="239" spans="1:10" ht="12.75" hidden="1">
      <c r="A239" s="138" t="s">
        <v>352</v>
      </c>
      <c r="B239" s="34"/>
      <c r="C239" s="39">
        <v>412700</v>
      </c>
      <c r="D239" s="31" t="s">
        <v>357</v>
      </c>
      <c r="E239" s="197"/>
      <c r="F239" s="197"/>
      <c r="G239" s="197">
        <f t="shared" si="31"/>
        <v>0</v>
      </c>
      <c r="H239" s="197"/>
      <c r="I239" s="209">
        <f t="shared" si="29"/>
        <v>0</v>
      </c>
      <c r="J239" s="321">
        <f t="shared" si="30"/>
        <v>0</v>
      </c>
    </row>
    <row r="240" spans="1:10" ht="12.75">
      <c r="A240" s="138" t="s">
        <v>27</v>
      </c>
      <c r="B240" s="34"/>
      <c r="C240" s="18">
        <v>412900</v>
      </c>
      <c r="D240" s="48" t="s">
        <v>0</v>
      </c>
      <c r="E240" s="197">
        <v>400</v>
      </c>
      <c r="F240" s="197">
        <v>0</v>
      </c>
      <c r="G240" s="197">
        <f t="shared" si="31"/>
        <v>400</v>
      </c>
      <c r="H240" s="197">
        <v>151.62</v>
      </c>
      <c r="I240" s="209">
        <f t="shared" si="29"/>
        <v>37.905</v>
      </c>
      <c r="J240" s="321">
        <f t="shared" si="30"/>
        <v>0.0012339555202054945</v>
      </c>
    </row>
    <row r="241" spans="1:10" ht="14.25" customHeight="1">
      <c r="A241" s="138"/>
      <c r="B241" s="77">
        <v>414000</v>
      </c>
      <c r="C241" s="39"/>
      <c r="D241" s="106" t="s">
        <v>198</v>
      </c>
      <c r="E241" s="188">
        <f>SUM(E242)</f>
        <v>410000</v>
      </c>
      <c r="F241" s="188">
        <f>SUM(F242)</f>
        <v>0</v>
      </c>
      <c r="G241" s="188">
        <f>SUM(G242)</f>
        <v>410000</v>
      </c>
      <c r="H241" s="188">
        <f>SUM(H242)</f>
        <v>18563</v>
      </c>
      <c r="I241" s="188">
        <f t="shared" si="29"/>
        <v>4.527560975609756</v>
      </c>
      <c r="J241" s="318">
        <f t="shared" si="30"/>
        <v>0.15107450416550977</v>
      </c>
    </row>
    <row r="242" spans="1:10" ht="12.75">
      <c r="A242" s="138" t="s">
        <v>50</v>
      </c>
      <c r="B242" s="34"/>
      <c r="C242" s="39">
        <v>414100</v>
      </c>
      <c r="D242" s="40" t="s">
        <v>200</v>
      </c>
      <c r="E242" s="197">
        <v>410000</v>
      </c>
      <c r="F242" s="197">
        <v>0</v>
      </c>
      <c r="G242" s="197">
        <f t="shared" si="31"/>
        <v>410000</v>
      </c>
      <c r="H242" s="197">
        <v>18563</v>
      </c>
      <c r="I242" s="209">
        <f t="shared" si="29"/>
        <v>4.527560975609756</v>
      </c>
      <c r="J242" s="321">
        <f t="shared" si="30"/>
        <v>0.15107450416550977</v>
      </c>
    </row>
    <row r="243" spans="1:10" ht="12.75" hidden="1">
      <c r="A243" s="138" t="s">
        <v>50</v>
      </c>
      <c r="B243" s="34"/>
      <c r="C243" s="39">
        <v>415200</v>
      </c>
      <c r="D243" s="40" t="s">
        <v>376</v>
      </c>
      <c r="E243" s="197"/>
      <c r="F243" s="197"/>
      <c r="G243" s="197">
        <f t="shared" si="31"/>
        <v>0</v>
      </c>
      <c r="H243" s="197"/>
      <c r="I243" s="209">
        <f t="shared" si="29"/>
        <v>0</v>
      </c>
      <c r="J243" s="321">
        <f t="shared" si="30"/>
        <v>0</v>
      </c>
    </row>
    <row r="244" spans="1:10" ht="14.25" customHeight="1">
      <c r="A244" s="138"/>
      <c r="B244" s="24">
        <v>416000</v>
      </c>
      <c r="C244" s="39"/>
      <c r="D244" s="33" t="s">
        <v>1</v>
      </c>
      <c r="E244" s="252">
        <f>SUM(E245:E245)</f>
        <v>10000</v>
      </c>
      <c r="F244" s="252">
        <f>SUM(F245:F245)</f>
        <v>0</v>
      </c>
      <c r="G244" s="252">
        <f>SUM(G245:G245)</f>
        <v>10000</v>
      </c>
      <c r="H244" s="252">
        <f>SUM(H245:H245)</f>
        <v>6439.04</v>
      </c>
      <c r="I244" s="188">
        <f t="shared" si="29"/>
        <v>64.3904</v>
      </c>
      <c r="J244" s="318">
        <f t="shared" si="30"/>
        <v>0.05240396354586457</v>
      </c>
    </row>
    <row r="245" spans="1:11" ht="12.75">
      <c r="A245" s="138" t="s">
        <v>50</v>
      </c>
      <c r="B245" s="34"/>
      <c r="C245" s="38">
        <v>416100</v>
      </c>
      <c r="D245" s="31" t="s">
        <v>204</v>
      </c>
      <c r="E245" s="197">
        <v>10000</v>
      </c>
      <c r="F245" s="197">
        <v>0</v>
      </c>
      <c r="G245" s="197">
        <f t="shared" si="31"/>
        <v>10000</v>
      </c>
      <c r="H245" s="197">
        <v>6439.04</v>
      </c>
      <c r="I245" s="209">
        <f t="shared" si="29"/>
        <v>64.3904</v>
      </c>
      <c r="J245" s="321">
        <f t="shared" si="30"/>
        <v>0.05240396354586457</v>
      </c>
      <c r="K245" s="475"/>
    </row>
    <row r="246" spans="1:10" ht="24">
      <c r="A246" s="138"/>
      <c r="B246" s="34"/>
      <c r="C246" s="38"/>
      <c r="D246" s="33" t="s">
        <v>386</v>
      </c>
      <c r="E246" s="73">
        <f>SUM(E247:E248)</f>
        <v>410000</v>
      </c>
      <c r="F246" s="73">
        <f>SUM(F247:F248)</f>
        <v>0</v>
      </c>
      <c r="G246" s="73">
        <f>SUM(G247:G248)</f>
        <v>410000</v>
      </c>
      <c r="H246" s="73">
        <f>SUM(H247:H248)</f>
        <v>223879.47</v>
      </c>
      <c r="I246" s="188">
        <f t="shared" si="29"/>
        <v>54.60474878048781</v>
      </c>
      <c r="J246" s="318">
        <f t="shared" si="30"/>
        <v>1.8220373820550084</v>
      </c>
    </row>
    <row r="247" spans="1:10" ht="24">
      <c r="A247" s="138" t="s">
        <v>44</v>
      </c>
      <c r="B247" s="34"/>
      <c r="C247" s="38">
        <v>412500</v>
      </c>
      <c r="D247" s="31" t="s">
        <v>387</v>
      </c>
      <c r="E247" s="197">
        <v>70000</v>
      </c>
      <c r="F247" s="197">
        <v>0</v>
      </c>
      <c r="G247" s="197">
        <f t="shared" si="31"/>
        <v>70000</v>
      </c>
      <c r="H247" s="197">
        <v>20409.6</v>
      </c>
      <c r="I247" s="209">
        <f t="shared" si="29"/>
        <v>29.156571428571425</v>
      </c>
      <c r="J247" s="321">
        <f t="shared" si="30"/>
        <v>0.16610301137835415</v>
      </c>
    </row>
    <row r="248" spans="1:10" ht="35.25" customHeight="1">
      <c r="A248" s="138" t="s">
        <v>44</v>
      </c>
      <c r="B248" s="34"/>
      <c r="C248" s="38">
        <v>511200</v>
      </c>
      <c r="D248" s="31" t="s">
        <v>413</v>
      </c>
      <c r="E248" s="197">
        <v>340000</v>
      </c>
      <c r="F248" s="197">
        <v>0</v>
      </c>
      <c r="G248" s="197">
        <f t="shared" si="31"/>
        <v>340000</v>
      </c>
      <c r="H248" s="197">
        <v>203469.87</v>
      </c>
      <c r="I248" s="209">
        <f t="shared" si="29"/>
        <v>59.8440794117647</v>
      </c>
      <c r="J248" s="321">
        <f t="shared" si="30"/>
        <v>1.6559343706766543</v>
      </c>
    </row>
    <row r="249" spans="1:10" ht="26.25" customHeight="1">
      <c r="A249" s="138"/>
      <c r="B249" s="34"/>
      <c r="C249" s="89"/>
      <c r="D249" s="60" t="s">
        <v>126</v>
      </c>
      <c r="E249" s="188">
        <f>SUM(E250:E254)</f>
        <v>290000</v>
      </c>
      <c r="F249" s="188">
        <f>SUM(F250:F254)</f>
        <v>0</v>
      </c>
      <c r="G249" s="188">
        <f>SUM(G250:G254)</f>
        <v>290000</v>
      </c>
      <c r="H249" s="188">
        <f>SUM(H250:H254)</f>
        <v>73983.69</v>
      </c>
      <c r="I249" s="188">
        <f t="shared" si="29"/>
        <v>25.51161724137931</v>
      </c>
      <c r="J249" s="318">
        <f t="shared" si="30"/>
        <v>0.6021143825397179</v>
      </c>
    </row>
    <row r="250" spans="1:10" ht="22.5" customHeight="1">
      <c r="A250" s="41" t="s">
        <v>185</v>
      </c>
      <c r="B250" s="34"/>
      <c r="C250" s="39">
        <v>412700</v>
      </c>
      <c r="D250" s="50" t="s">
        <v>127</v>
      </c>
      <c r="E250" s="197">
        <v>10000</v>
      </c>
      <c r="F250" s="197">
        <v>0</v>
      </c>
      <c r="G250" s="197">
        <f t="shared" si="31"/>
        <v>10000</v>
      </c>
      <c r="H250" s="197">
        <v>0</v>
      </c>
      <c r="I250" s="209">
        <f t="shared" si="29"/>
        <v>0</v>
      </c>
      <c r="J250" s="321">
        <f t="shared" si="30"/>
        <v>0</v>
      </c>
    </row>
    <row r="251" spans="1:10" ht="23.25" customHeight="1">
      <c r="A251" s="41" t="s">
        <v>50</v>
      </c>
      <c r="B251" s="34"/>
      <c r="C251" s="38">
        <v>412800</v>
      </c>
      <c r="D251" s="50" t="s">
        <v>328</v>
      </c>
      <c r="E251" s="197">
        <v>40000</v>
      </c>
      <c r="F251" s="197">
        <v>0</v>
      </c>
      <c r="G251" s="197">
        <f t="shared" si="31"/>
        <v>40000</v>
      </c>
      <c r="H251" s="197">
        <v>0</v>
      </c>
      <c r="I251" s="209">
        <f t="shared" si="29"/>
        <v>0</v>
      </c>
      <c r="J251" s="321">
        <f t="shared" si="30"/>
        <v>0</v>
      </c>
    </row>
    <row r="252" spans="1:10" ht="15" customHeight="1">
      <c r="A252" s="41" t="s">
        <v>183</v>
      </c>
      <c r="B252" s="34"/>
      <c r="C252" s="38">
        <v>415200</v>
      </c>
      <c r="D252" s="64" t="s">
        <v>509</v>
      </c>
      <c r="E252" s="197">
        <v>75000</v>
      </c>
      <c r="F252" s="197">
        <v>0</v>
      </c>
      <c r="G252" s="197">
        <f t="shared" si="31"/>
        <v>75000</v>
      </c>
      <c r="H252" s="197">
        <v>73983.69</v>
      </c>
      <c r="I252" s="209">
        <f t="shared" si="29"/>
        <v>98.64492</v>
      </c>
      <c r="J252" s="321">
        <f t="shared" si="30"/>
        <v>0.6021143825397179</v>
      </c>
    </row>
    <row r="253" spans="1:10" ht="26.25" customHeight="1" hidden="1">
      <c r="A253" s="41" t="s">
        <v>50</v>
      </c>
      <c r="B253" s="34"/>
      <c r="C253" s="38">
        <v>511100</v>
      </c>
      <c r="D253" s="96" t="s">
        <v>298</v>
      </c>
      <c r="E253" s="197">
        <v>0</v>
      </c>
      <c r="F253" s="197"/>
      <c r="G253" s="197">
        <f t="shared" si="31"/>
        <v>0</v>
      </c>
      <c r="H253" s="197"/>
      <c r="I253" s="209">
        <f t="shared" si="29"/>
        <v>0</v>
      </c>
      <c r="J253" s="321">
        <f t="shared" si="30"/>
        <v>0</v>
      </c>
    </row>
    <row r="254" spans="1:10" ht="36.75" customHeight="1">
      <c r="A254" s="41" t="s">
        <v>183</v>
      </c>
      <c r="B254" s="34"/>
      <c r="C254" s="38">
        <v>511200</v>
      </c>
      <c r="D254" s="96" t="s">
        <v>285</v>
      </c>
      <c r="E254" s="197">
        <v>165000</v>
      </c>
      <c r="F254" s="197">
        <v>0</v>
      </c>
      <c r="G254" s="197">
        <f t="shared" si="31"/>
        <v>165000</v>
      </c>
      <c r="H254" s="197">
        <v>0</v>
      </c>
      <c r="I254" s="209">
        <f t="shared" si="29"/>
        <v>0</v>
      </c>
      <c r="J254" s="321">
        <f t="shared" si="30"/>
        <v>0</v>
      </c>
    </row>
    <row r="255" spans="1:10" ht="24.75" customHeight="1">
      <c r="A255" s="556"/>
      <c r="B255" s="557"/>
      <c r="C255" s="549" t="s">
        <v>90</v>
      </c>
      <c r="D255" s="549"/>
      <c r="E255" s="350">
        <f>E236+E241+E244+E246+E249</f>
        <v>1172400</v>
      </c>
      <c r="F255" s="350">
        <f>F236+F241+F244+F246+F249</f>
        <v>0</v>
      </c>
      <c r="G255" s="350">
        <f>G236+G241+G244+G246+G249</f>
        <v>1172400</v>
      </c>
      <c r="H255" s="350">
        <f>H236+H241+H244+H246+H249</f>
        <v>346516.82</v>
      </c>
      <c r="I255" s="351">
        <f t="shared" si="29"/>
        <v>29.55619413169567</v>
      </c>
      <c r="J255" s="352">
        <f t="shared" si="30"/>
        <v>2.820118341136088</v>
      </c>
    </row>
    <row r="256" spans="1:10" ht="21.75" customHeight="1">
      <c r="A256" s="556"/>
      <c r="B256" s="557"/>
      <c r="C256" s="545" t="s">
        <v>510</v>
      </c>
      <c r="D256" s="552"/>
      <c r="E256" s="176"/>
      <c r="F256" s="176"/>
      <c r="G256" s="176"/>
      <c r="H256" s="176"/>
      <c r="I256" s="176"/>
      <c r="J256" s="375"/>
    </row>
    <row r="257" spans="1:10" ht="18.75" customHeight="1">
      <c r="A257" s="556"/>
      <c r="B257" s="557"/>
      <c r="C257" s="553"/>
      <c r="D257" s="552"/>
      <c r="E257" s="178"/>
      <c r="F257" s="178"/>
      <c r="G257" s="178"/>
      <c r="H257" s="178"/>
      <c r="I257" s="178"/>
      <c r="J257" s="377"/>
    </row>
    <row r="258" spans="1:10" ht="14.25" customHeight="1">
      <c r="A258" s="138"/>
      <c r="B258" s="24">
        <v>412000</v>
      </c>
      <c r="C258" s="18"/>
      <c r="D258" s="33" t="s">
        <v>143</v>
      </c>
      <c r="E258" s="360">
        <f>SUM(E259:E268)</f>
        <v>366000</v>
      </c>
      <c r="F258" s="360">
        <f>SUM(F259:F268)</f>
        <v>1434</v>
      </c>
      <c r="G258" s="360">
        <f>SUM(G259:G268)</f>
        <v>367434</v>
      </c>
      <c r="H258" s="360">
        <f>SUM(H259:H268)</f>
        <v>161675.96000000002</v>
      </c>
      <c r="I258" s="360">
        <f aca="true" t="shared" si="32" ref="I258:I274">IF(G258&gt;0,H258/G258*100,0)</f>
        <v>44.00136078860422</v>
      </c>
      <c r="J258" s="361">
        <f aca="true" t="shared" si="33" ref="J258:J274">H258/$H$494*100</f>
        <v>1.3157956953338787</v>
      </c>
    </row>
    <row r="259" spans="1:10" ht="24.75" customHeight="1">
      <c r="A259" s="138" t="s">
        <v>27</v>
      </c>
      <c r="B259" s="34"/>
      <c r="C259" s="18">
        <v>412200</v>
      </c>
      <c r="D259" s="31" t="s">
        <v>145</v>
      </c>
      <c r="E259" s="197">
        <v>220000</v>
      </c>
      <c r="F259" s="197">
        <v>0</v>
      </c>
      <c r="G259" s="197">
        <f aca="true" t="shared" si="34" ref="G259:G273">E259+F259</f>
        <v>220000</v>
      </c>
      <c r="H259" s="197">
        <v>101256.83</v>
      </c>
      <c r="I259" s="209">
        <f t="shared" si="32"/>
        <v>46.025831818181814</v>
      </c>
      <c r="J259" s="321">
        <f t="shared" si="33"/>
        <v>0.824076139935426</v>
      </c>
    </row>
    <row r="260" spans="1:10" ht="12.75" customHeight="1">
      <c r="A260" s="138" t="s">
        <v>27</v>
      </c>
      <c r="B260" s="34"/>
      <c r="C260" s="18">
        <v>412300</v>
      </c>
      <c r="D260" s="34" t="s">
        <v>146</v>
      </c>
      <c r="E260" s="197">
        <v>55000</v>
      </c>
      <c r="F260" s="197">
        <v>0</v>
      </c>
      <c r="G260" s="197">
        <f t="shared" si="34"/>
        <v>55000</v>
      </c>
      <c r="H260" s="197">
        <v>23705.85</v>
      </c>
      <c r="I260" s="209">
        <f t="shared" si="32"/>
        <v>43.10154545454545</v>
      </c>
      <c r="J260" s="321">
        <f t="shared" si="33"/>
        <v>0.19292945830802938</v>
      </c>
    </row>
    <row r="261" spans="1:10" ht="12.75" customHeight="1">
      <c r="A261" s="138" t="s">
        <v>27</v>
      </c>
      <c r="B261" s="34"/>
      <c r="C261" s="18">
        <v>412500</v>
      </c>
      <c r="D261" s="34" t="s">
        <v>25</v>
      </c>
      <c r="E261" s="197">
        <v>25000</v>
      </c>
      <c r="F261" s="197">
        <v>0</v>
      </c>
      <c r="G261" s="197">
        <f t="shared" si="34"/>
        <v>25000</v>
      </c>
      <c r="H261" s="197">
        <v>12835.57</v>
      </c>
      <c r="I261" s="209">
        <f t="shared" si="32"/>
        <v>51.342279999999995</v>
      </c>
      <c r="J261" s="321">
        <f t="shared" si="33"/>
        <v>0.10446196053610365</v>
      </c>
    </row>
    <row r="262" spans="1:10" ht="13.5" customHeight="1">
      <c r="A262" s="138" t="s">
        <v>27</v>
      </c>
      <c r="B262" s="34"/>
      <c r="C262" s="18">
        <v>412600</v>
      </c>
      <c r="D262" s="31" t="s">
        <v>429</v>
      </c>
      <c r="E262" s="197">
        <v>5000</v>
      </c>
      <c r="F262" s="197">
        <v>0</v>
      </c>
      <c r="G262" s="197">
        <f t="shared" si="34"/>
        <v>5000</v>
      </c>
      <c r="H262" s="197">
        <v>2245.17</v>
      </c>
      <c r="I262" s="209">
        <f t="shared" si="32"/>
        <v>44.9034</v>
      </c>
      <c r="J262" s="321">
        <f t="shared" si="33"/>
        <v>0.018272259037724375</v>
      </c>
    </row>
    <row r="263" spans="1:10" ht="12.75" customHeight="1">
      <c r="A263" s="138" t="s">
        <v>27</v>
      </c>
      <c r="B263" s="34"/>
      <c r="C263" s="18">
        <v>412700</v>
      </c>
      <c r="D263" s="31" t="s">
        <v>322</v>
      </c>
      <c r="E263" s="185">
        <v>55000</v>
      </c>
      <c r="F263" s="185">
        <v>0</v>
      </c>
      <c r="G263" s="185">
        <f t="shared" si="34"/>
        <v>55000</v>
      </c>
      <c r="H263" s="185">
        <v>17356.87</v>
      </c>
      <c r="I263" s="209">
        <f t="shared" si="32"/>
        <v>31.557945454545454</v>
      </c>
      <c r="J263" s="321">
        <f t="shared" si="33"/>
        <v>0.14125844578544478</v>
      </c>
    </row>
    <row r="264" spans="1:10" ht="12.75" customHeight="1" hidden="1">
      <c r="A264" s="138" t="s">
        <v>27</v>
      </c>
      <c r="B264" s="34"/>
      <c r="C264" s="18">
        <v>412900</v>
      </c>
      <c r="D264" s="31" t="s">
        <v>28</v>
      </c>
      <c r="E264" s="197">
        <v>0</v>
      </c>
      <c r="F264" s="197"/>
      <c r="G264" s="197">
        <f t="shared" si="34"/>
        <v>0</v>
      </c>
      <c r="H264" s="197"/>
      <c r="I264" s="209">
        <f t="shared" si="32"/>
        <v>0</v>
      </c>
      <c r="J264" s="321">
        <f t="shared" si="33"/>
        <v>0</v>
      </c>
    </row>
    <row r="265" spans="1:10" ht="22.5" customHeight="1">
      <c r="A265" s="138" t="s">
        <v>27</v>
      </c>
      <c r="B265" s="34"/>
      <c r="C265" s="18">
        <v>412900</v>
      </c>
      <c r="D265" s="31" t="s">
        <v>321</v>
      </c>
      <c r="E265" s="185">
        <v>3000</v>
      </c>
      <c r="F265" s="185">
        <v>0</v>
      </c>
      <c r="G265" s="185">
        <f t="shared" si="34"/>
        <v>3000</v>
      </c>
      <c r="H265" s="185">
        <v>2217.2</v>
      </c>
      <c r="I265" s="209">
        <f t="shared" si="32"/>
        <v>73.90666666666667</v>
      </c>
      <c r="J265" s="321">
        <f t="shared" si="33"/>
        <v>0.018044625902912687</v>
      </c>
    </row>
    <row r="266" spans="1:10" ht="24" customHeight="1" hidden="1">
      <c r="A266" s="138" t="s">
        <v>27</v>
      </c>
      <c r="B266" s="34"/>
      <c r="C266" s="18">
        <v>412900</v>
      </c>
      <c r="D266" s="31" t="s">
        <v>517</v>
      </c>
      <c r="E266" s="185">
        <v>0</v>
      </c>
      <c r="F266" s="185"/>
      <c r="G266" s="185">
        <f t="shared" si="34"/>
        <v>0</v>
      </c>
      <c r="H266" s="185"/>
      <c r="I266" s="209">
        <f t="shared" si="32"/>
        <v>0</v>
      </c>
      <c r="J266" s="321">
        <f t="shared" si="33"/>
        <v>0</v>
      </c>
    </row>
    <row r="267" spans="1:10" ht="12.75">
      <c r="A267" s="138" t="s">
        <v>27</v>
      </c>
      <c r="B267" s="34"/>
      <c r="C267" s="18">
        <v>412900</v>
      </c>
      <c r="D267" s="31" t="s">
        <v>152</v>
      </c>
      <c r="E267" s="185">
        <v>3000</v>
      </c>
      <c r="F267" s="185">
        <v>0</v>
      </c>
      <c r="G267" s="185">
        <f t="shared" si="34"/>
        <v>3000</v>
      </c>
      <c r="H267" s="185">
        <v>624.47</v>
      </c>
      <c r="I267" s="209">
        <f t="shared" si="32"/>
        <v>20.81566666666667</v>
      </c>
      <c r="J267" s="321">
        <f t="shared" si="33"/>
        <v>0.005082233239036572</v>
      </c>
    </row>
    <row r="268" spans="1:10" ht="12.75">
      <c r="A268" s="138" t="s">
        <v>27</v>
      </c>
      <c r="B268" s="34"/>
      <c r="C268" s="18">
        <v>412900</v>
      </c>
      <c r="D268" s="31" t="s">
        <v>540</v>
      </c>
      <c r="E268" s="185">
        <v>0</v>
      </c>
      <c r="F268" s="185">
        <v>1434</v>
      </c>
      <c r="G268" s="185">
        <f t="shared" si="34"/>
        <v>1434</v>
      </c>
      <c r="H268" s="185">
        <v>1434</v>
      </c>
      <c r="I268" s="209">
        <f t="shared" si="32"/>
        <v>100</v>
      </c>
      <c r="J268" s="321">
        <f t="shared" si="33"/>
        <v>0.011670572589201154</v>
      </c>
    </row>
    <row r="269" spans="1:10" ht="14.25" customHeight="1">
      <c r="A269" s="138"/>
      <c r="B269" s="24">
        <v>511000</v>
      </c>
      <c r="C269" s="34"/>
      <c r="D269" s="33" t="s">
        <v>161</v>
      </c>
      <c r="E269" s="188">
        <f>SUM(E270:E271)</f>
        <v>55000</v>
      </c>
      <c r="F269" s="188">
        <f>SUM(F270:F271)</f>
        <v>0</v>
      </c>
      <c r="G269" s="188">
        <f>SUM(G270:G271)</f>
        <v>55000</v>
      </c>
      <c r="H269" s="188">
        <f>SUM(H270:H271)</f>
        <v>18435.36</v>
      </c>
      <c r="I269" s="188">
        <f t="shared" si="32"/>
        <v>33.51883636363637</v>
      </c>
      <c r="J269" s="318">
        <f t="shared" si="33"/>
        <v>0.15003570926642634</v>
      </c>
    </row>
    <row r="270" spans="1:10" ht="24" customHeight="1">
      <c r="A270" s="138" t="s">
        <v>27</v>
      </c>
      <c r="B270" s="34"/>
      <c r="C270" s="43">
        <v>511200</v>
      </c>
      <c r="D270" s="44" t="s">
        <v>171</v>
      </c>
      <c r="E270" s="197">
        <v>10000</v>
      </c>
      <c r="F270" s="197">
        <v>0</v>
      </c>
      <c r="G270" s="197">
        <f t="shared" si="34"/>
        <v>10000</v>
      </c>
      <c r="H270" s="197">
        <v>0</v>
      </c>
      <c r="I270" s="209">
        <f t="shared" si="32"/>
        <v>0</v>
      </c>
      <c r="J270" s="321">
        <f t="shared" si="33"/>
        <v>0</v>
      </c>
    </row>
    <row r="271" spans="1:10" ht="12.75">
      <c r="A271" s="138" t="s">
        <v>27</v>
      </c>
      <c r="B271" s="34"/>
      <c r="C271" s="34">
        <v>511300</v>
      </c>
      <c r="D271" s="34" t="s">
        <v>2</v>
      </c>
      <c r="E271" s="197">
        <v>45000</v>
      </c>
      <c r="F271" s="197">
        <v>0</v>
      </c>
      <c r="G271" s="197">
        <f t="shared" si="34"/>
        <v>45000</v>
      </c>
      <c r="H271" s="197">
        <v>18435.36</v>
      </c>
      <c r="I271" s="209">
        <f t="shared" si="32"/>
        <v>40.96746666666667</v>
      </c>
      <c r="J271" s="321">
        <f t="shared" si="33"/>
        <v>0.15003570926642634</v>
      </c>
    </row>
    <row r="272" spans="1:10" ht="25.5" customHeight="1">
      <c r="A272" s="138"/>
      <c r="B272" s="24">
        <v>516000</v>
      </c>
      <c r="C272" s="34"/>
      <c r="D272" s="33" t="s">
        <v>368</v>
      </c>
      <c r="E272" s="188">
        <f>SUM(E273)</f>
        <v>7000</v>
      </c>
      <c r="F272" s="188">
        <f>SUM(F273)</f>
        <v>0</v>
      </c>
      <c r="G272" s="188">
        <f>SUM(G273)</f>
        <v>7000</v>
      </c>
      <c r="H272" s="188">
        <f>SUM(H273)</f>
        <v>1963</v>
      </c>
      <c r="I272" s="188">
        <f t="shared" si="32"/>
        <v>28.04285714285714</v>
      </c>
      <c r="J272" s="318">
        <f t="shared" si="33"/>
        <v>0.015975825657323476</v>
      </c>
    </row>
    <row r="273" spans="1:10" ht="23.25" customHeight="1">
      <c r="A273" s="138" t="s">
        <v>27</v>
      </c>
      <c r="B273" s="34"/>
      <c r="C273" s="34">
        <v>516100</v>
      </c>
      <c r="D273" s="31" t="s">
        <v>294</v>
      </c>
      <c r="E273" s="187">
        <v>7000</v>
      </c>
      <c r="F273" s="71">
        <v>0</v>
      </c>
      <c r="G273" s="71">
        <f t="shared" si="34"/>
        <v>7000</v>
      </c>
      <c r="H273" s="71">
        <v>1963</v>
      </c>
      <c r="I273" s="209">
        <f t="shared" si="32"/>
        <v>28.04285714285714</v>
      </c>
      <c r="J273" s="321">
        <f t="shared" si="33"/>
        <v>0.015975825657323476</v>
      </c>
    </row>
    <row r="274" spans="1:10" ht="25.5" customHeight="1">
      <c r="A274" s="556"/>
      <c r="B274" s="557"/>
      <c r="C274" s="549" t="s">
        <v>91</v>
      </c>
      <c r="D274" s="550"/>
      <c r="E274" s="350">
        <f>E258+E269+E272</f>
        <v>428000</v>
      </c>
      <c r="F274" s="350">
        <f>F258+F269+F272</f>
        <v>1434</v>
      </c>
      <c r="G274" s="350">
        <f>G258+G269+G272</f>
        <v>429434</v>
      </c>
      <c r="H274" s="350">
        <f>H258+H269+H272</f>
        <v>182074.32</v>
      </c>
      <c r="I274" s="351">
        <f t="shared" si="32"/>
        <v>42.398673602928504</v>
      </c>
      <c r="J274" s="352">
        <f t="shared" si="33"/>
        <v>1.4818072302576286</v>
      </c>
    </row>
    <row r="275" spans="1:10" ht="12.75">
      <c r="A275" s="556"/>
      <c r="B275" s="557"/>
      <c r="C275" s="545" t="s">
        <v>319</v>
      </c>
      <c r="D275" s="552"/>
      <c r="E275" s="176"/>
      <c r="F275" s="176"/>
      <c r="G275" s="176"/>
      <c r="H275" s="176"/>
      <c r="I275" s="176"/>
      <c r="J275" s="375"/>
    </row>
    <row r="276" spans="1:10" ht="12.75">
      <c r="A276" s="556"/>
      <c r="B276" s="557"/>
      <c r="C276" s="553"/>
      <c r="D276" s="552"/>
      <c r="E276" s="177"/>
      <c r="F276" s="177"/>
      <c r="G276" s="177"/>
      <c r="H276" s="177"/>
      <c r="I276" s="177"/>
      <c r="J276" s="376"/>
    </row>
    <row r="277" spans="1:10" ht="11.25" customHeight="1">
      <c r="A277" s="556"/>
      <c r="B277" s="557"/>
      <c r="C277" s="553"/>
      <c r="D277" s="552"/>
      <c r="E277" s="178"/>
      <c r="F277" s="178"/>
      <c r="G277" s="178"/>
      <c r="H277" s="178"/>
      <c r="I277" s="178"/>
      <c r="J277" s="377"/>
    </row>
    <row r="278" spans="1:10" ht="15" customHeight="1">
      <c r="A278" s="138"/>
      <c r="B278" s="24">
        <v>412000</v>
      </c>
      <c r="C278" s="18"/>
      <c r="D278" s="33" t="s">
        <v>143</v>
      </c>
      <c r="E278" s="360">
        <f>SUM(E279:E285)</f>
        <v>27400</v>
      </c>
      <c r="F278" s="360">
        <f>SUM(F279:F285)</f>
        <v>0</v>
      </c>
      <c r="G278" s="360">
        <f>SUM(G279:G285)</f>
        <v>27400</v>
      </c>
      <c r="H278" s="360">
        <f>SUM(H279:H285)</f>
        <v>11310.41</v>
      </c>
      <c r="I278" s="360">
        <f aca="true" t="shared" si="35" ref="I278:I293">IF(G278&gt;0,H278/G278*100,0)</f>
        <v>41.278868613138684</v>
      </c>
      <c r="J278" s="361">
        <f aca="true" t="shared" si="36" ref="J278:J293">H278/$H$494*100</f>
        <v>0.09204948460155273</v>
      </c>
    </row>
    <row r="279" spans="1:10" ht="22.5" customHeight="1">
      <c r="A279" s="138" t="s">
        <v>59</v>
      </c>
      <c r="B279" s="24"/>
      <c r="C279" s="18">
        <v>412200</v>
      </c>
      <c r="D279" s="31" t="s">
        <v>145</v>
      </c>
      <c r="E279" s="197">
        <v>11000</v>
      </c>
      <c r="F279" s="197">
        <v>0</v>
      </c>
      <c r="G279" s="197">
        <f aca="true" t="shared" si="37" ref="G279:G292">E279+F279</f>
        <v>11000</v>
      </c>
      <c r="H279" s="197">
        <v>4845.02</v>
      </c>
      <c r="I279" s="209">
        <f t="shared" si="35"/>
        <v>44.04563636363637</v>
      </c>
      <c r="J279" s="321">
        <f t="shared" si="36"/>
        <v>0.03943107224974294</v>
      </c>
    </row>
    <row r="280" spans="1:10" ht="12.75">
      <c r="A280" s="138" t="s">
        <v>59</v>
      </c>
      <c r="B280" s="24"/>
      <c r="C280" s="18">
        <v>412300</v>
      </c>
      <c r="D280" s="34" t="s">
        <v>146</v>
      </c>
      <c r="E280" s="197">
        <v>500</v>
      </c>
      <c r="F280" s="197">
        <v>0</v>
      </c>
      <c r="G280" s="197">
        <f t="shared" si="37"/>
        <v>500</v>
      </c>
      <c r="H280" s="197">
        <v>0</v>
      </c>
      <c r="I280" s="209">
        <f t="shared" si="35"/>
        <v>0</v>
      </c>
      <c r="J280" s="321">
        <f t="shared" si="36"/>
        <v>0</v>
      </c>
    </row>
    <row r="281" spans="1:10" ht="12.75">
      <c r="A281" s="138" t="s">
        <v>59</v>
      </c>
      <c r="B281" s="24"/>
      <c r="C281" s="18">
        <v>412400</v>
      </c>
      <c r="D281" s="31" t="s">
        <v>147</v>
      </c>
      <c r="E281" s="197">
        <v>3000</v>
      </c>
      <c r="F281" s="197">
        <v>0</v>
      </c>
      <c r="G281" s="197">
        <f t="shared" si="37"/>
        <v>3000</v>
      </c>
      <c r="H281" s="197">
        <v>452.39</v>
      </c>
      <c r="I281" s="209">
        <f t="shared" si="35"/>
        <v>15.079666666666666</v>
      </c>
      <c r="J281" s="321">
        <f t="shared" si="36"/>
        <v>0.0036817645283324335</v>
      </c>
    </row>
    <row r="282" spans="1:10" ht="12.75">
      <c r="A282" s="138" t="s">
        <v>59</v>
      </c>
      <c r="B282" s="24"/>
      <c r="C282" s="18">
        <v>412500</v>
      </c>
      <c r="D282" s="34" t="s">
        <v>148</v>
      </c>
      <c r="E282" s="185">
        <v>7000</v>
      </c>
      <c r="F282" s="197">
        <v>0</v>
      </c>
      <c r="G282" s="185">
        <f t="shared" si="37"/>
        <v>7000</v>
      </c>
      <c r="H282" s="185">
        <v>2033.95</v>
      </c>
      <c r="I282" s="209">
        <f t="shared" si="35"/>
        <v>29.056428571428572</v>
      </c>
      <c r="J282" s="321">
        <f t="shared" si="36"/>
        <v>0.016553250430826838</v>
      </c>
    </row>
    <row r="283" spans="1:10" ht="12.75">
      <c r="A283" s="138" t="s">
        <v>59</v>
      </c>
      <c r="B283" s="24"/>
      <c r="C283" s="79">
        <v>412700</v>
      </c>
      <c r="D283" s="79" t="s">
        <v>150</v>
      </c>
      <c r="E283" s="197">
        <v>3000</v>
      </c>
      <c r="F283" s="197">
        <v>0</v>
      </c>
      <c r="G283" s="197">
        <f t="shared" si="37"/>
        <v>3000</v>
      </c>
      <c r="H283" s="197">
        <v>2114.8</v>
      </c>
      <c r="I283" s="209">
        <f t="shared" si="35"/>
        <v>70.49333333333334</v>
      </c>
      <c r="J283" s="321">
        <f t="shared" si="36"/>
        <v>0.01721124610295858</v>
      </c>
    </row>
    <row r="284" spans="1:10" ht="12.75">
      <c r="A284" s="138" t="s">
        <v>59</v>
      </c>
      <c r="B284" s="24"/>
      <c r="C284" s="79">
        <v>412900</v>
      </c>
      <c r="D284" s="34" t="s">
        <v>0</v>
      </c>
      <c r="E284" s="197">
        <v>400</v>
      </c>
      <c r="F284" s="197">
        <v>0</v>
      </c>
      <c r="G284" s="197">
        <f t="shared" si="37"/>
        <v>400</v>
      </c>
      <c r="H284" s="197">
        <v>69.68</v>
      </c>
      <c r="I284" s="209">
        <f t="shared" si="35"/>
        <v>17.42</v>
      </c>
      <c r="J284" s="321">
        <f t="shared" si="36"/>
        <v>0.0005670889107500254</v>
      </c>
    </row>
    <row r="285" spans="1:10" ht="12.75">
      <c r="A285" s="138" t="s">
        <v>59</v>
      </c>
      <c r="B285" s="24"/>
      <c r="C285" s="79">
        <v>412900</v>
      </c>
      <c r="D285" s="79" t="s">
        <v>152</v>
      </c>
      <c r="E285" s="197">
        <v>2500</v>
      </c>
      <c r="F285" s="197">
        <v>0</v>
      </c>
      <c r="G285" s="197">
        <f t="shared" si="37"/>
        <v>2500</v>
      </c>
      <c r="H285" s="197">
        <v>1794.57</v>
      </c>
      <c r="I285" s="209">
        <f t="shared" si="35"/>
        <v>71.78280000000001</v>
      </c>
      <c r="J285" s="321">
        <f t="shared" si="36"/>
        <v>0.014605062378941921</v>
      </c>
    </row>
    <row r="286" spans="1:10" ht="12.75">
      <c r="A286" s="138"/>
      <c r="B286" s="24">
        <v>415000</v>
      </c>
      <c r="C286" s="79"/>
      <c r="D286" s="36" t="s">
        <v>157</v>
      </c>
      <c r="E286" s="188">
        <f>SUM(E287:E287)</f>
        <v>5000</v>
      </c>
      <c r="F286" s="188">
        <f>SUM(F287:F287)</f>
        <v>0</v>
      </c>
      <c r="G286" s="188">
        <f>SUM(G287:G287)</f>
        <v>5000</v>
      </c>
      <c r="H286" s="188">
        <f>SUM(H287:H287)</f>
        <v>0</v>
      </c>
      <c r="I286" s="188">
        <f t="shared" si="35"/>
        <v>0</v>
      </c>
      <c r="J286" s="318">
        <f t="shared" si="36"/>
        <v>0</v>
      </c>
    </row>
    <row r="287" spans="1:10" ht="22.5" customHeight="1">
      <c r="A287" s="138" t="s">
        <v>59</v>
      </c>
      <c r="B287" s="24"/>
      <c r="C287" s="79">
        <v>415200</v>
      </c>
      <c r="D287" s="31" t="s">
        <v>353</v>
      </c>
      <c r="E287" s="272">
        <v>5000</v>
      </c>
      <c r="F287" s="272">
        <v>0</v>
      </c>
      <c r="G287" s="272">
        <f t="shared" si="37"/>
        <v>5000</v>
      </c>
      <c r="H287" s="272">
        <v>0</v>
      </c>
      <c r="I287" s="209">
        <f t="shared" si="35"/>
        <v>0</v>
      </c>
      <c r="J287" s="321">
        <f t="shared" si="36"/>
        <v>0</v>
      </c>
    </row>
    <row r="288" spans="1:17" ht="14.25" customHeight="1">
      <c r="A288" s="138"/>
      <c r="B288" s="24">
        <v>511000</v>
      </c>
      <c r="C288" s="18"/>
      <c r="D288" s="33" t="s">
        <v>161</v>
      </c>
      <c r="E288" s="188">
        <f>SUM(E289:E292)</f>
        <v>299381.85</v>
      </c>
      <c r="F288" s="188">
        <f>SUM(F289:F292)</f>
        <v>0</v>
      </c>
      <c r="G288" s="188">
        <f>SUM(G289:G292)</f>
        <v>299381.85</v>
      </c>
      <c r="H288" s="188">
        <f>SUM(H289:H292)</f>
        <v>0</v>
      </c>
      <c r="I288" s="188">
        <f t="shared" si="35"/>
        <v>0</v>
      </c>
      <c r="J288" s="318">
        <f t="shared" si="36"/>
        <v>0</v>
      </c>
      <c r="K288" s="393"/>
      <c r="L288" s="402"/>
      <c r="M288" s="210"/>
      <c r="N288" s="210"/>
      <c r="O288" s="210"/>
      <c r="P288" s="210"/>
      <c r="Q288" s="210"/>
    </row>
    <row r="289" spans="1:17" ht="12.75" customHeight="1">
      <c r="A289" s="138" t="s">
        <v>59</v>
      </c>
      <c r="B289" s="24"/>
      <c r="C289" s="18">
        <v>511100</v>
      </c>
      <c r="D289" s="35" t="s">
        <v>61</v>
      </c>
      <c r="E289" s="185">
        <v>259381.85</v>
      </c>
      <c r="F289" s="185">
        <v>0</v>
      </c>
      <c r="G289" s="185">
        <f t="shared" si="37"/>
        <v>259381.85</v>
      </c>
      <c r="H289" s="185">
        <v>0</v>
      </c>
      <c r="I289" s="209">
        <f t="shared" si="35"/>
        <v>0</v>
      </c>
      <c r="J289" s="321">
        <f t="shared" si="36"/>
        <v>0</v>
      </c>
      <c r="K289" s="393"/>
      <c r="L289" s="402"/>
      <c r="M289" s="210"/>
      <c r="N289" s="210"/>
      <c r="O289" s="210"/>
      <c r="P289" s="210"/>
      <c r="Q289" s="210"/>
    </row>
    <row r="290" spans="1:17" ht="24" hidden="1">
      <c r="A290" s="138" t="s">
        <v>59</v>
      </c>
      <c r="B290" s="24"/>
      <c r="C290" s="18">
        <v>511200</v>
      </c>
      <c r="D290" s="44" t="s">
        <v>171</v>
      </c>
      <c r="E290" s="197"/>
      <c r="F290" s="197"/>
      <c r="G290" s="197">
        <f t="shared" si="37"/>
        <v>0</v>
      </c>
      <c r="H290" s="197"/>
      <c r="I290" s="209">
        <f t="shared" si="35"/>
        <v>0</v>
      </c>
      <c r="J290" s="321">
        <f t="shared" si="36"/>
        <v>0</v>
      </c>
      <c r="K290" s="393"/>
      <c r="L290" s="402"/>
      <c r="M290" s="210"/>
      <c r="N290" s="210"/>
      <c r="O290" s="210"/>
      <c r="P290" s="210"/>
      <c r="Q290" s="210"/>
    </row>
    <row r="291" spans="1:17" ht="12.75">
      <c r="A291" s="138" t="s">
        <v>59</v>
      </c>
      <c r="B291" s="24"/>
      <c r="C291" s="18">
        <v>511300</v>
      </c>
      <c r="D291" s="35" t="s">
        <v>2</v>
      </c>
      <c r="E291" s="71">
        <v>30000</v>
      </c>
      <c r="F291" s="197">
        <v>0</v>
      </c>
      <c r="G291" s="197">
        <f t="shared" si="37"/>
        <v>30000</v>
      </c>
      <c r="H291" s="197">
        <v>0</v>
      </c>
      <c r="I291" s="209">
        <f t="shared" si="35"/>
        <v>0</v>
      </c>
      <c r="J291" s="321">
        <f t="shared" si="36"/>
        <v>0</v>
      </c>
      <c r="K291" s="394"/>
      <c r="L291" s="403"/>
      <c r="M291" s="194"/>
      <c r="N291" s="194"/>
      <c r="O291" s="194"/>
      <c r="P291" s="194"/>
      <c r="Q291" s="194"/>
    </row>
    <row r="292" spans="1:17" ht="12.75">
      <c r="A292" s="206" t="s">
        <v>59</v>
      </c>
      <c r="B292" s="24"/>
      <c r="C292" s="18">
        <v>511400</v>
      </c>
      <c r="D292" s="35" t="s">
        <v>360</v>
      </c>
      <c r="E292" s="71">
        <v>10000</v>
      </c>
      <c r="F292" s="197">
        <v>0</v>
      </c>
      <c r="G292" s="197">
        <f t="shared" si="37"/>
        <v>10000</v>
      </c>
      <c r="H292" s="197">
        <v>0</v>
      </c>
      <c r="I292" s="209">
        <f t="shared" si="35"/>
        <v>0</v>
      </c>
      <c r="J292" s="321">
        <f t="shared" si="36"/>
        <v>0</v>
      </c>
      <c r="K292" s="394"/>
      <c r="L292" s="403"/>
      <c r="M292" s="194"/>
      <c r="N292" s="194"/>
      <c r="O292" s="194"/>
      <c r="P292" s="194"/>
      <c r="Q292" s="194"/>
    </row>
    <row r="293" spans="1:10" ht="24.75" customHeight="1">
      <c r="A293" s="556"/>
      <c r="B293" s="557"/>
      <c r="C293" s="549" t="s">
        <v>323</v>
      </c>
      <c r="D293" s="550"/>
      <c r="E293" s="72">
        <f>E278+E286+E288</f>
        <v>331781.85</v>
      </c>
      <c r="F293" s="72">
        <f>F278+F286+F288</f>
        <v>0</v>
      </c>
      <c r="G293" s="72">
        <f>G278+G286+G288</f>
        <v>331781.85</v>
      </c>
      <c r="H293" s="72">
        <f>H278+H286+H288</f>
        <v>11310.41</v>
      </c>
      <c r="I293" s="326">
        <f t="shared" si="35"/>
        <v>3.4089899733816065</v>
      </c>
      <c r="J293" s="328">
        <f t="shared" si="36"/>
        <v>0.09204948460155273</v>
      </c>
    </row>
    <row r="294" spans="1:10" ht="12.75">
      <c r="A294" s="554"/>
      <c r="B294" s="555"/>
      <c r="C294" s="545" t="s">
        <v>364</v>
      </c>
      <c r="D294" s="552"/>
      <c r="E294" s="176"/>
      <c r="F294" s="176"/>
      <c r="G294" s="176"/>
      <c r="H294" s="176"/>
      <c r="I294" s="176"/>
      <c r="J294" s="375"/>
    </row>
    <row r="295" spans="1:10" ht="12.75">
      <c r="A295" s="554"/>
      <c r="B295" s="555"/>
      <c r="C295" s="553"/>
      <c r="D295" s="552"/>
      <c r="E295" s="177"/>
      <c r="F295" s="177"/>
      <c r="G295" s="177"/>
      <c r="H295" s="177"/>
      <c r="I295" s="177"/>
      <c r="J295" s="376"/>
    </row>
    <row r="296" spans="1:10" ht="12.75" customHeight="1">
      <c r="A296" s="554"/>
      <c r="B296" s="555"/>
      <c r="C296" s="553"/>
      <c r="D296" s="552"/>
      <c r="E296" s="178"/>
      <c r="F296" s="178"/>
      <c r="G296" s="178"/>
      <c r="H296" s="178"/>
      <c r="I296" s="178"/>
      <c r="J296" s="377"/>
    </row>
    <row r="297" spans="1:10" ht="14.25" customHeight="1">
      <c r="A297" s="138"/>
      <c r="B297" s="24">
        <v>411000</v>
      </c>
      <c r="C297" s="37"/>
      <c r="D297" s="27" t="s">
        <v>414</v>
      </c>
      <c r="E297" s="358">
        <f>SUM(E298:E301)</f>
        <v>269000</v>
      </c>
      <c r="F297" s="358">
        <f>SUM(F298:F301)</f>
        <v>0</v>
      </c>
      <c r="G297" s="358">
        <f>SUM(G298:G301)</f>
        <v>269000</v>
      </c>
      <c r="H297" s="358">
        <f>SUM(H298:H301)</f>
        <v>122908.65</v>
      </c>
      <c r="I297" s="360">
        <f aca="true" t="shared" si="38" ref="I297:I329">IF(G297&gt;0,H297/G297*100,0)</f>
        <v>45.690947955390335</v>
      </c>
      <c r="J297" s="361">
        <f aca="true" t="shared" si="39" ref="J297:J329">H297/$H$494*100</f>
        <v>1.0002889272424813</v>
      </c>
    </row>
    <row r="298" spans="1:10" ht="12.75" customHeight="1">
      <c r="A298" s="138">
        <v>1090</v>
      </c>
      <c r="B298" s="34"/>
      <c r="C298" s="18">
        <v>411100</v>
      </c>
      <c r="D298" s="28" t="s">
        <v>408</v>
      </c>
      <c r="E298" s="197">
        <v>200000</v>
      </c>
      <c r="F298" s="197">
        <v>0</v>
      </c>
      <c r="G298" s="197">
        <f aca="true" t="shared" si="40" ref="G298:G328">E298+F298</f>
        <v>200000</v>
      </c>
      <c r="H298" s="197">
        <v>102732.37</v>
      </c>
      <c r="I298" s="209">
        <f t="shared" si="38"/>
        <v>51.366184999999994</v>
      </c>
      <c r="J298" s="321">
        <f t="shared" si="39"/>
        <v>0.836084784759882</v>
      </c>
    </row>
    <row r="299" spans="1:10" ht="23.25" customHeight="1">
      <c r="A299" s="138">
        <v>1090</v>
      </c>
      <c r="B299" s="34"/>
      <c r="C299" s="18">
        <v>411200</v>
      </c>
      <c r="D299" s="28" t="s">
        <v>415</v>
      </c>
      <c r="E299" s="197">
        <v>58000</v>
      </c>
      <c r="F299" s="197">
        <v>0</v>
      </c>
      <c r="G299" s="197">
        <f t="shared" si="40"/>
        <v>58000</v>
      </c>
      <c r="H299" s="197">
        <v>19210.52</v>
      </c>
      <c r="I299" s="209">
        <f t="shared" si="38"/>
        <v>33.12158620689655</v>
      </c>
      <c r="J299" s="321">
        <f t="shared" si="39"/>
        <v>0.1563443292442821</v>
      </c>
    </row>
    <row r="300" spans="1:10" ht="21.75" customHeight="1">
      <c r="A300" s="138">
        <v>1090</v>
      </c>
      <c r="B300" s="34"/>
      <c r="C300" s="18">
        <v>411300</v>
      </c>
      <c r="D300" s="28" t="s">
        <v>409</v>
      </c>
      <c r="E300" s="197">
        <v>3000</v>
      </c>
      <c r="F300" s="197">
        <v>0</v>
      </c>
      <c r="G300" s="197">
        <f t="shared" si="40"/>
        <v>3000</v>
      </c>
      <c r="H300" s="197">
        <v>965.76</v>
      </c>
      <c r="I300" s="209">
        <f t="shared" si="38"/>
        <v>32.192</v>
      </c>
      <c r="J300" s="321">
        <f t="shared" si="39"/>
        <v>0.007859813238317229</v>
      </c>
    </row>
    <row r="301" spans="1:10" ht="12.75" customHeight="1">
      <c r="A301" s="138">
        <v>1090</v>
      </c>
      <c r="B301" s="34"/>
      <c r="C301" s="18">
        <v>411400</v>
      </c>
      <c r="D301" s="30" t="s">
        <v>410</v>
      </c>
      <c r="E301" s="197">
        <v>8000</v>
      </c>
      <c r="F301" s="197">
        <v>0</v>
      </c>
      <c r="G301" s="197">
        <f t="shared" si="40"/>
        <v>8000</v>
      </c>
      <c r="H301" s="197">
        <v>0</v>
      </c>
      <c r="I301" s="209">
        <f t="shared" si="38"/>
        <v>0</v>
      </c>
      <c r="J301" s="321">
        <f t="shared" si="39"/>
        <v>0</v>
      </c>
    </row>
    <row r="302" spans="1:10" ht="14.25" customHeight="1">
      <c r="A302" s="138"/>
      <c r="B302" s="24">
        <v>412000</v>
      </c>
      <c r="C302" s="18"/>
      <c r="D302" s="33" t="s">
        <v>143</v>
      </c>
      <c r="E302" s="188">
        <f>SUM(E303:E309)</f>
        <v>125450</v>
      </c>
      <c r="F302" s="188">
        <f>SUM(F303:F309)</f>
        <v>4090</v>
      </c>
      <c r="G302" s="188">
        <f>SUM(G303:G309)</f>
        <v>129540</v>
      </c>
      <c r="H302" s="188">
        <f>SUM(H303:H309)</f>
        <v>50649.52</v>
      </c>
      <c r="I302" s="188">
        <f t="shared" si="38"/>
        <v>39.09952138335649</v>
      </c>
      <c r="J302" s="318">
        <f t="shared" si="39"/>
        <v>0.41220983247433446</v>
      </c>
    </row>
    <row r="303" spans="1:10" ht="12.75" customHeight="1">
      <c r="A303" s="138">
        <v>1090</v>
      </c>
      <c r="B303" s="34"/>
      <c r="C303" s="18">
        <v>412100</v>
      </c>
      <c r="D303" s="31" t="s">
        <v>144</v>
      </c>
      <c r="E303" s="197">
        <v>22850</v>
      </c>
      <c r="F303" s="197">
        <v>0</v>
      </c>
      <c r="G303" s="197">
        <f t="shared" si="40"/>
        <v>22850</v>
      </c>
      <c r="H303" s="197">
        <v>11417.88</v>
      </c>
      <c r="I303" s="209">
        <f t="shared" si="38"/>
        <v>49.968840262582056</v>
      </c>
      <c r="J303" s="321">
        <f t="shared" si="39"/>
        <v>0.0929241264677741</v>
      </c>
    </row>
    <row r="304" spans="1:10" ht="24" customHeight="1">
      <c r="A304" s="138">
        <v>1090</v>
      </c>
      <c r="B304" s="34"/>
      <c r="C304" s="18">
        <v>412200</v>
      </c>
      <c r="D304" s="31" t="s">
        <v>145</v>
      </c>
      <c r="E304" s="197">
        <v>80000</v>
      </c>
      <c r="F304" s="197">
        <v>-570</v>
      </c>
      <c r="G304" s="197">
        <f t="shared" si="40"/>
        <v>79430</v>
      </c>
      <c r="H304" s="197">
        <v>31935.03</v>
      </c>
      <c r="I304" s="209">
        <f t="shared" si="38"/>
        <v>40.20524990557723</v>
      </c>
      <c r="J304" s="321">
        <f t="shared" si="39"/>
        <v>0.25990243079031833</v>
      </c>
    </row>
    <row r="305" spans="1:10" ht="12.75" customHeight="1">
      <c r="A305" s="138">
        <v>1090</v>
      </c>
      <c r="B305" s="34"/>
      <c r="C305" s="18">
        <v>412300</v>
      </c>
      <c r="D305" s="34" t="s">
        <v>146</v>
      </c>
      <c r="E305" s="197">
        <v>8000</v>
      </c>
      <c r="F305" s="197">
        <v>0</v>
      </c>
      <c r="G305" s="197">
        <f t="shared" si="40"/>
        <v>8000</v>
      </c>
      <c r="H305" s="197">
        <v>1629.77</v>
      </c>
      <c r="I305" s="209">
        <f t="shared" si="38"/>
        <v>20.372125</v>
      </c>
      <c r="J305" s="321">
        <f t="shared" si="39"/>
        <v>0.013263841763390771</v>
      </c>
    </row>
    <row r="306" spans="1:10" ht="12.75" customHeight="1">
      <c r="A306" s="138">
        <v>1090</v>
      </c>
      <c r="B306" s="34"/>
      <c r="C306" s="18">
        <v>412500</v>
      </c>
      <c r="D306" s="34" t="s">
        <v>148</v>
      </c>
      <c r="E306" s="197">
        <v>2000</v>
      </c>
      <c r="F306" s="197">
        <v>0</v>
      </c>
      <c r="G306" s="197">
        <f t="shared" si="40"/>
        <v>2000</v>
      </c>
      <c r="H306" s="197">
        <v>435.65</v>
      </c>
      <c r="I306" s="209">
        <f t="shared" si="38"/>
        <v>21.7825</v>
      </c>
      <c r="J306" s="321">
        <f t="shared" si="39"/>
        <v>0.003545526463378997</v>
      </c>
    </row>
    <row r="307" spans="1:10" ht="12.75" customHeight="1">
      <c r="A307" s="138">
        <v>1090</v>
      </c>
      <c r="B307" s="34"/>
      <c r="C307" s="18">
        <v>412600</v>
      </c>
      <c r="D307" s="48" t="s">
        <v>149</v>
      </c>
      <c r="E307" s="197">
        <v>600</v>
      </c>
      <c r="F307" s="197">
        <v>0</v>
      </c>
      <c r="G307" s="197">
        <f t="shared" si="40"/>
        <v>600</v>
      </c>
      <c r="H307" s="197">
        <v>253.8</v>
      </c>
      <c r="I307" s="209">
        <f t="shared" si="38"/>
        <v>42.300000000000004</v>
      </c>
      <c r="J307" s="321">
        <f t="shared" si="39"/>
        <v>0.0020655448557456435</v>
      </c>
    </row>
    <row r="308" spans="1:10" ht="12.75" customHeight="1">
      <c r="A308" s="138" t="s">
        <v>33</v>
      </c>
      <c r="B308" s="78"/>
      <c r="C308" s="79">
        <v>412700</v>
      </c>
      <c r="D308" s="79" t="s">
        <v>150</v>
      </c>
      <c r="E308" s="197">
        <v>4000</v>
      </c>
      <c r="F308" s="197">
        <v>0</v>
      </c>
      <c r="G308" s="197">
        <f t="shared" si="40"/>
        <v>4000</v>
      </c>
      <c r="H308" s="197">
        <v>964.9</v>
      </c>
      <c r="I308" s="209">
        <f t="shared" si="38"/>
        <v>24.1225</v>
      </c>
      <c r="J308" s="321">
        <f t="shared" si="39"/>
        <v>0.00785281415015355</v>
      </c>
    </row>
    <row r="309" spans="1:10" ht="12.75" customHeight="1">
      <c r="A309" s="138" t="s">
        <v>33</v>
      </c>
      <c r="B309" s="78"/>
      <c r="C309" s="79">
        <v>412900</v>
      </c>
      <c r="D309" s="79" t="s">
        <v>152</v>
      </c>
      <c r="E309" s="197">
        <v>8000</v>
      </c>
      <c r="F309" s="197">
        <v>4660</v>
      </c>
      <c r="G309" s="197">
        <f t="shared" si="40"/>
        <v>12660</v>
      </c>
      <c r="H309" s="197">
        <v>4012.49</v>
      </c>
      <c r="I309" s="209">
        <f t="shared" si="38"/>
        <v>31.69423380726698</v>
      </c>
      <c r="J309" s="321">
        <f t="shared" si="39"/>
        <v>0.032655547983573036</v>
      </c>
    </row>
    <row r="310" spans="1:10" ht="14.25" customHeight="1">
      <c r="A310" s="138"/>
      <c r="B310" s="24"/>
      <c r="C310" s="18"/>
      <c r="D310" s="36" t="s">
        <v>51</v>
      </c>
      <c r="E310" s="66">
        <f>SUM(E311:E320)</f>
        <v>2351000</v>
      </c>
      <c r="F310" s="66">
        <f>SUM(F311:F320)</f>
        <v>0</v>
      </c>
      <c r="G310" s="66">
        <f>SUM(G311:G320)</f>
        <v>2351000</v>
      </c>
      <c r="H310" s="66">
        <f>SUM(H311:H320)</f>
        <v>1112314.8</v>
      </c>
      <c r="I310" s="188">
        <f t="shared" si="38"/>
        <v>47.312411739685245</v>
      </c>
      <c r="J310" s="318">
        <f t="shared" si="39"/>
        <v>9.052545756933588</v>
      </c>
    </row>
    <row r="311" spans="1:10" ht="12.75">
      <c r="A311" s="138">
        <v>1090</v>
      </c>
      <c r="B311" s="34"/>
      <c r="C311" s="18">
        <v>416100</v>
      </c>
      <c r="D311" s="31" t="s">
        <v>53</v>
      </c>
      <c r="E311" s="197">
        <v>150000</v>
      </c>
      <c r="F311" s="197">
        <v>0</v>
      </c>
      <c r="G311" s="197">
        <f t="shared" si="40"/>
        <v>150000</v>
      </c>
      <c r="H311" s="197">
        <v>61745.27</v>
      </c>
      <c r="I311" s="209">
        <f t="shared" si="38"/>
        <v>41.16351333333333</v>
      </c>
      <c r="J311" s="321">
        <f t="shared" si="39"/>
        <v>0.5025123121163348</v>
      </c>
    </row>
    <row r="312" spans="1:10" ht="12.75" customHeight="1">
      <c r="A312" s="138" t="s">
        <v>33</v>
      </c>
      <c r="B312" s="34"/>
      <c r="C312" s="18">
        <v>416100</v>
      </c>
      <c r="D312" s="31" t="s">
        <v>220</v>
      </c>
      <c r="E312" s="197">
        <v>150000</v>
      </c>
      <c r="F312" s="197">
        <v>0</v>
      </c>
      <c r="G312" s="197">
        <f t="shared" si="40"/>
        <v>150000</v>
      </c>
      <c r="H312" s="197">
        <v>62118.24</v>
      </c>
      <c r="I312" s="209">
        <f t="shared" si="38"/>
        <v>41.41216</v>
      </c>
      <c r="J312" s="321">
        <f t="shared" si="39"/>
        <v>0.5055477189912264</v>
      </c>
    </row>
    <row r="313" spans="1:10" ht="12.75" customHeight="1">
      <c r="A313" s="138">
        <v>1090</v>
      </c>
      <c r="B313" s="34"/>
      <c r="C313" s="18">
        <v>416100</v>
      </c>
      <c r="D313" s="31" t="s">
        <v>112</v>
      </c>
      <c r="E313" s="197">
        <v>680000</v>
      </c>
      <c r="F313" s="197">
        <v>0</v>
      </c>
      <c r="G313" s="197">
        <f t="shared" si="40"/>
        <v>680000</v>
      </c>
      <c r="H313" s="197">
        <v>330785.05</v>
      </c>
      <c r="I313" s="209">
        <f t="shared" si="38"/>
        <v>48.64486029411765</v>
      </c>
      <c r="J313" s="321">
        <f t="shared" si="39"/>
        <v>2.69208573043761</v>
      </c>
    </row>
    <row r="314" spans="1:10" ht="15" customHeight="1">
      <c r="A314" s="138" t="s">
        <v>33</v>
      </c>
      <c r="B314" s="34"/>
      <c r="C314" s="18">
        <v>416100</v>
      </c>
      <c r="D314" s="31" t="s">
        <v>221</v>
      </c>
      <c r="E314" s="197">
        <v>680000</v>
      </c>
      <c r="F314" s="197">
        <v>0</v>
      </c>
      <c r="G314" s="197">
        <f t="shared" si="40"/>
        <v>680000</v>
      </c>
      <c r="H314" s="197">
        <v>335355.55</v>
      </c>
      <c r="I314" s="209">
        <f t="shared" si="38"/>
        <v>49.316992647058825</v>
      </c>
      <c r="J314" s="321">
        <f t="shared" si="39"/>
        <v>2.7292826286377103</v>
      </c>
    </row>
    <row r="315" spans="1:10" ht="12.75" customHeight="1">
      <c r="A315" s="138">
        <v>1090</v>
      </c>
      <c r="B315" s="34"/>
      <c r="C315" s="39">
        <v>416100</v>
      </c>
      <c r="D315" s="31" t="s">
        <v>55</v>
      </c>
      <c r="E315" s="197">
        <v>30000</v>
      </c>
      <c r="F315" s="197">
        <v>0</v>
      </c>
      <c r="G315" s="197">
        <f t="shared" si="40"/>
        <v>30000</v>
      </c>
      <c r="H315" s="197">
        <v>6308.41</v>
      </c>
      <c r="I315" s="209">
        <f t="shared" si="38"/>
        <v>21.028033333333333</v>
      </c>
      <c r="J315" s="321">
        <f t="shared" si="39"/>
        <v>0.051340834607700454</v>
      </c>
    </row>
    <row r="316" spans="1:10" ht="12.75" customHeight="1">
      <c r="A316" s="138">
        <v>1090</v>
      </c>
      <c r="B316" s="34"/>
      <c r="C316" s="39">
        <v>416100</v>
      </c>
      <c r="D316" s="31" t="s">
        <v>56</v>
      </c>
      <c r="E316" s="197">
        <v>80000</v>
      </c>
      <c r="F316" s="197">
        <v>0</v>
      </c>
      <c r="G316" s="197">
        <f t="shared" si="40"/>
        <v>80000</v>
      </c>
      <c r="H316" s="197">
        <v>30350.25</v>
      </c>
      <c r="I316" s="209">
        <f t="shared" si="38"/>
        <v>37.9378125</v>
      </c>
      <c r="J316" s="321">
        <f t="shared" si="39"/>
        <v>0.2470047389995832</v>
      </c>
    </row>
    <row r="317" spans="1:10" ht="12.75" customHeight="1">
      <c r="A317" s="138">
        <v>1090</v>
      </c>
      <c r="B317" s="34"/>
      <c r="C317" s="18">
        <v>416300</v>
      </c>
      <c r="D317" s="31" t="s">
        <v>111</v>
      </c>
      <c r="E317" s="197">
        <v>300000</v>
      </c>
      <c r="F317" s="197">
        <v>0</v>
      </c>
      <c r="G317" s="197">
        <f t="shared" si="40"/>
        <v>300000</v>
      </c>
      <c r="H317" s="197">
        <v>165838.26</v>
      </c>
      <c r="I317" s="209">
        <f t="shared" si="38"/>
        <v>55.27942</v>
      </c>
      <c r="J317" s="321">
        <f t="shared" si="39"/>
        <v>1.3496704681986151</v>
      </c>
    </row>
    <row r="318" spans="1:10" ht="12.75" customHeight="1">
      <c r="A318" s="138" t="s">
        <v>33</v>
      </c>
      <c r="B318" s="34"/>
      <c r="C318" s="18">
        <v>416300</v>
      </c>
      <c r="D318" s="34" t="s">
        <v>54</v>
      </c>
      <c r="E318" s="197">
        <v>130000</v>
      </c>
      <c r="F318" s="197">
        <v>0</v>
      </c>
      <c r="G318" s="197">
        <f t="shared" si="40"/>
        <v>130000</v>
      </c>
      <c r="H318" s="197">
        <v>55859.88</v>
      </c>
      <c r="I318" s="209">
        <f t="shared" si="38"/>
        <v>42.969138461538456</v>
      </c>
      <c r="J318" s="321">
        <f t="shared" si="39"/>
        <v>0.4546142150377027</v>
      </c>
    </row>
    <row r="319" spans="1:10" ht="12.75" customHeight="1">
      <c r="A319" s="138" t="s">
        <v>33</v>
      </c>
      <c r="B319" s="24"/>
      <c r="C319" s="39">
        <v>487400</v>
      </c>
      <c r="D319" s="35" t="s">
        <v>52</v>
      </c>
      <c r="E319" s="209">
        <v>87000</v>
      </c>
      <c r="F319" s="209">
        <v>0</v>
      </c>
      <c r="G319" s="209">
        <f t="shared" si="40"/>
        <v>87000</v>
      </c>
      <c r="H319" s="209">
        <v>37215.9</v>
      </c>
      <c r="I319" s="209">
        <f t="shared" si="38"/>
        <v>42.77689655172414</v>
      </c>
      <c r="J319" s="321">
        <f t="shared" si="39"/>
        <v>0.3028806571983621</v>
      </c>
    </row>
    <row r="320" spans="1:10" ht="12.75" customHeight="1">
      <c r="A320" s="138" t="s">
        <v>33</v>
      </c>
      <c r="B320" s="34"/>
      <c r="C320" s="39">
        <v>487400</v>
      </c>
      <c r="D320" s="35" t="s">
        <v>222</v>
      </c>
      <c r="E320" s="209">
        <v>64000</v>
      </c>
      <c r="F320" s="209">
        <v>0</v>
      </c>
      <c r="G320" s="209">
        <f t="shared" si="40"/>
        <v>64000</v>
      </c>
      <c r="H320" s="209">
        <v>26737.99</v>
      </c>
      <c r="I320" s="209">
        <f t="shared" si="38"/>
        <v>41.778109375</v>
      </c>
      <c r="J320" s="321">
        <f t="shared" si="39"/>
        <v>0.217606452708741</v>
      </c>
    </row>
    <row r="321" spans="1:10" ht="12.75" customHeight="1">
      <c r="A321" s="138"/>
      <c r="B321" s="24">
        <v>419000</v>
      </c>
      <c r="C321" s="18"/>
      <c r="D321" s="33" t="s">
        <v>395</v>
      </c>
      <c r="E321" s="188">
        <f>SUM(E322)</f>
        <v>0</v>
      </c>
      <c r="F321" s="188">
        <f>SUM(F322)</f>
        <v>1310</v>
      </c>
      <c r="G321" s="188">
        <f>SUM(G322)</f>
        <v>1310</v>
      </c>
      <c r="H321" s="188">
        <f>SUM(H322)</f>
        <v>940</v>
      </c>
      <c r="I321" s="188">
        <f>IF(G321&gt;0,H321/G321*100,0)</f>
        <v>71.7557251908397</v>
      </c>
      <c r="J321" s="318">
        <f t="shared" si="39"/>
        <v>0.007650166132391272</v>
      </c>
    </row>
    <row r="322" spans="1:10" ht="12.75" customHeight="1">
      <c r="A322" s="138" t="s">
        <v>33</v>
      </c>
      <c r="B322" s="34"/>
      <c r="C322" s="18">
        <v>419100</v>
      </c>
      <c r="D322" s="34" t="s">
        <v>395</v>
      </c>
      <c r="E322" s="197">
        <v>0</v>
      </c>
      <c r="F322" s="197">
        <v>1310</v>
      </c>
      <c r="G322" s="197">
        <f t="shared" si="40"/>
        <v>1310</v>
      </c>
      <c r="H322" s="197">
        <v>940</v>
      </c>
      <c r="I322" s="209">
        <f>IF(G322&gt;0,H322/G322*100,0)</f>
        <v>71.7557251908397</v>
      </c>
      <c r="J322" s="321">
        <f t="shared" si="39"/>
        <v>0.007650166132391272</v>
      </c>
    </row>
    <row r="323" spans="1:10" ht="14.25" customHeight="1">
      <c r="A323" s="138"/>
      <c r="B323" s="24">
        <v>511000</v>
      </c>
      <c r="C323" s="18"/>
      <c r="D323" s="33" t="s">
        <v>161</v>
      </c>
      <c r="E323" s="188">
        <f>SUM(E324:E324)</f>
        <v>3000</v>
      </c>
      <c r="F323" s="188">
        <f>SUM(F324:F324)</f>
        <v>-1450</v>
      </c>
      <c r="G323" s="188">
        <f>SUM(G324:G324)</f>
        <v>1550</v>
      </c>
      <c r="H323" s="188">
        <f>SUM(H324:H324)</f>
        <v>0</v>
      </c>
      <c r="I323" s="188">
        <f t="shared" si="38"/>
        <v>0</v>
      </c>
      <c r="J323" s="318">
        <f t="shared" si="39"/>
        <v>0</v>
      </c>
    </row>
    <row r="324" spans="1:12" ht="12.75" customHeight="1">
      <c r="A324" s="138">
        <v>1090</v>
      </c>
      <c r="B324" s="34"/>
      <c r="C324" s="18">
        <v>511300</v>
      </c>
      <c r="D324" s="34" t="s">
        <v>2</v>
      </c>
      <c r="E324" s="197">
        <v>3000</v>
      </c>
      <c r="F324" s="197">
        <v>-1450</v>
      </c>
      <c r="G324" s="197">
        <f t="shared" si="40"/>
        <v>1550</v>
      </c>
      <c r="H324" s="197">
        <v>0</v>
      </c>
      <c r="I324" s="209">
        <f t="shared" si="38"/>
        <v>0</v>
      </c>
      <c r="J324" s="321">
        <f t="shared" si="39"/>
        <v>0</v>
      </c>
      <c r="L324" s="479"/>
    </row>
    <row r="325" spans="1:12" ht="24" customHeight="1">
      <c r="A325" s="206"/>
      <c r="B325" s="24">
        <v>516000</v>
      </c>
      <c r="C325" s="34"/>
      <c r="D325" s="33" t="s">
        <v>368</v>
      </c>
      <c r="E325" s="66">
        <f>SUM(E326)</f>
        <v>0</v>
      </c>
      <c r="F325" s="66">
        <f>SUM(F326)</f>
        <v>1450</v>
      </c>
      <c r="G325" s="66">
        <f>SUM(G326)</f>
        <v>1450</v>
      </c>
      <c r="H325" s="66">
        <f>SUM(H326)</f>
        <v>1416</v>
      </c>
      <c r="I325" s="188">
        <f>IF(G325&gt;0,H325/G325*100,0)</f>
        <v>97.6551724137931</v>
      </c>
      <c r="J325" s="318">
        <f t="shared" si="39"/>
        <v>0.011524080046240469</v>
      </c>
      <c r="L325" s="479"/>
    </row>
    <row r="326" spans="1:12" ht="15.75" customHeight="1">
      <c r="A326" s="206" t="s">
        <v>33</v>
      </c>
      <c r="B326" s="34"/>
      <c r="C326" s="34">
        <v>516100</v>
      </c>
      <c r="D326" s="31" t="s">
        <v>348</v>
      </c>
      <c r="E326" s="197">
        <v>0</v>
      </c>
      <c r="F326" s="197">
        <v>1450</v>
      </c>
      <c r="G326" s="197">
        <f t="shared" si="40"/>
        <v>1450</v>
      </c>
      <c r="H326" s="197">
        <v>1416</v>
      </c>
      <c r="I326" s="209">
        <f>IF(G326&gt;0,H326/G326*100,0)</f>
        <v>97.6551724137931</v>
      </c>
      <c r="J326" s="321">
        <f t="shared" si="39"/>
        <v>0.011524080046240469</v>
      </c>
      <c r="L326" s="479"/>
    </row>
    <row r="327" spans="1:10" ht="24" customHeight="1">
      <c r="A327" s="206"/>
      <c r="B327" s="24">
        <v>638000</v>
      </c>
      <c r="C327" s="18"/>
      <c r="D327" s="33" t="s">
        <v>411</v>
      </c>
      <c r="E327" s="66">
        <f>SUM(E328)</f>
        <v>4000</v>
      </c>
      <c r="F327" s="66">
        <f>SUM(F328)</f>
        <v>0</v>
      </c>
      <c r="G327" s="66">
        <f>SUM(G328)</f>
        <v>4000</v>
      </c>
      <c r="H327" s="66">
        <f>SUM(H328)</f>
        <v>0</v>
      </c>
      <c r="I327" s="188">
        <f t="shared" si="38"/>
        <v>0</v>
      </c>
      <c r="J327" s="318">
        <f t="shared" si="39"/>
        <v>0</v>
      </c>
    </row>
    <row r="328" spans="1:10" ht="36" customHeight="1">
      <c r="A328" s="138"/>
      <c r="B328" s="34"/>
      <c r="C328" s="18">
        <v>638100</v>
      </c>
      <c r="D328" s="31" t="s">
        <v>412</v>
      </c>
      <c r="E328" s="197">
        <v>4000</v>
      </c>
      <c r="F328" s="197">
        <v>0</v>
      </c>
      <c r="G328" s="197">
        <f t="shared" si="40"/>
        <v>4000</v>
      </c>
      <c r="H328" s="197">
        <v>0</v>
      </c>
      <c r="I328" s="209">
        <f t="shared" si="38"/>
        <v>0</v>
      </c>
      <c r="J328" s="321">
        <f t="shared" si="39"/>
        <v>0</v>
      </c>
    </row>
    <row r="329" spans="1:10" ht="30" customHeight="1">
      <c r="A329" s="556"/>
      <c r="B329" s="557"/>
      <c r="C329" s="549" t="s">
        <v>92</v>
      </c>
      <c r="D329" s="550"/>
      <c r="E329" s="350">
        <f>E297+E302+E310+E321+E323+E325+E327</f>
        <v>2752450</v>
      </c>
      <c r="F329" s="350">
        <f>F297+F302+F310+F321+F323+F325+F327</f>
        <v>5400</v>
      </c>
      <c r="G329" s="350">
        <f>G297+G302+G310+G321+G323+G325+G327</f>
        <v>2757850</v>
      </c>
      <c r="H329" s="350">
        <f>H297+H302+H310+H321+H323+H325+H327</f>
        <v>1288228.97</v>
      </c>
      <c r="I329" s="351">
        <f t="shared" si="38"/>
        <v>46.71135014594702</v>
      </c>
      <c r="J329" s="352">
        <f t="shared" si="39"/>
        <v>10.484218762829034</v>
      </c>
    </row>
    <row r="330" spans="1:10" ht="9.75" customHeight="1">
      <c r="A330" s="556"/>
      <c r="B330" s="557"/>
      <c r="C330" s="545" t="s">
        <v>363</v>
      </c>
      <c r="D330" s="552"/>
      <c r="E330" s="173"/>
      <c r="F330" s="173"/>
      <c r="G330" s="173"/>
      <c r="H330" s="173"/>
      <c r="I330" s="173"/>
      <c r="J330" s="372"/>
    </row>
    <row r="331" spans="1:10" ht="9.75" customHeight="1">
      <c r="A331" s="556"/>
      <c r="B331" s="557"/>
      <c r="C331" s="553"/>
      <c r="D331" s="552"/>
      <c r="E331" s="174"/>
      <c r="F331" s="174"/>
      <c r="G331" s="174"/>
      <c r="H331" s="174"/>
      <c r="I331" s="174"/>
      <c r="J331" s="373"/>
    </row>
    <row r="332" spans="1:10" ht="19.5" customHeight="1">
      <c r="A332" s="556"/>
      <c r="B332" s="557"/>
      <c r="C332" s="553"/>
      <c r="D332" s="552"/>
      <c r="E332" s="175"/>
      <c r="F332" s="175"/>
      <c r="G332" s="175"/>
      <c r="H332" s="175"/>
      <c r="I332" s="175"/>
      <c r="J332" s="374"/>
    </row>
    <row r="333" spans="1:10" ht="14.25" customHeight="1">
      <c r="A333" s="138"/>
      <c r="B333" s="24">
        <v>411000</v>
      </c>
      <c r="C333" s="26"/>
      <c r="D333" s="37" t="s">
        <v>414</v>
      </c>
      <c r="E333" s="360">
        <f>SUM(E334)</f>
        <v>10000</v>
      </c>
      <c r="F333" s="360">
        <f>SUM(F334)</f>
        <v>0</v>
      </c>
      <c r="G333" s="360">
        <f>SUM(G334)</f>
        <v>10000</v>
      </c>
      <c r="H333" s="360">
        <f>SUM(H334)</f>
        <v>6560.24</v>
      </c>
      <c r="I333" s="360">
        <f aca="true" t="shared" si="41" ref="I333:I349">IF(G333&gt;0,H333/G333*100,0)</f>
        <v>65.60239999999999</v>
      </c>
      <c r="J333" s="361">
        <f aca="true" t="shared" si="42" ref="J333:J349">H333/$H$494*100</f>
        <v>0.0533903466684665</v>
      </c>
    </row>
    <row r="334" spans="1:10" ht="12.75">
      <c r="A334" s="138" t="s">
        <v>32</v>
      </c>
      <c r="B334" s="34"/>
      <c r="C334" s="18">
        <v>411200</v>
      </c>
      <c r="D334" s="30" t="s">
        <v>3</v>
      </c>
      <c r="E334" s="197">
        <v>10000</v>
      </c>
      <c r="F334" s="197">
        <v>0</v>
      </c>
      <c r="G334" s="197">
        <f aca="true" t="shared" si="43" ref="G334:G348">E334+F334</f>
        <v>10000</v>
      </c>
      <c r="H334" s="197">
        <v>6560.24</v>
      </c>
      <c r="I334" s="209">
        <f t="shared" si="41"/>
        <v>65.60239999999999</v>
      </c>
      <c r="J334" s="321">
        <f t="shared" si="42"/>
        <v>0.0533903466684665</v>
      </c>
    </row>
    <row r="335" spans="1:10" ht="14.25" customHeight="1">
      <c r="A335" s="138"/>
      <c r="B335" s="24">
        <v>412000</v>
      </c>
      <c r="C335" s="18"/>
      <c r="D335" s="37" t="s">
        <v>143</v>
      </c>
      <c r="E335" s="188">
        <f>SUM(E336:E344)</f>
        <v>61000</v>
      </c>
      <c r="F335" s="188">
        <f>SUM(F336:F344)</f>
        <v>1000</v>
      </c>
      <c r="G335" s="188">
        <f>SUM(G336:G344)</f>
        <v>62000</v>
      </c>
      <c r="H335" s="188">
        <f>SUM(H336:H344)</f>
        <v>22260.14</v>
      </c>
      <c r="I335" s="188">
        <f t="shared" si="41"/>
        <v>35.903451612903226</v>
      </c>
      <c r="J335" s="318">
        <f t="shared" si="42"/>
        <v>0.18116358418115772</v>
      </c>
    </row>
    <row r="336" spans="1:10" ht="24.75" customHeight="1">
      <c r="A336" s="138" t="s">
        <v>32</v>
      </c>
      <c r="B336" s="24"/>
      <c r="C336" s="18">
        <v>412200</v>
      </c>
      <c r="D336" s="31" t="s">
        <v>145</v>
      </c>
      <c r="E336" s="197">
        <v>36000</v>
      </c>
      <c r="F336" s="197">
        <v>0</v>
      </c>
      <c r="G336" s="197">
        <f t="shared" si="43"/>
        <v>36000</v>
      </c>
      <c r="H336" s="197">
        <v>9223.01</v>
      </c>
      <c r="I336" s="209">
        <f t="shared" si="41"/>
        <v>25.61947222222222</v>
      </c>
      <c r="J336" s="321">
        <f t="shared" si="42"/>
        <v>0.07506123270287875</v>
      </c>
    </row>
    <row r="337" spans="1:10" ht="24.75" customHeight="1">
      <c r="A337" s="138" t="s">
        <v>32</v>
      </c>
      <c r="B337" s="24"/>
      <c r="C337" s="18">
        <v>412200</v>
      </c>
      <c r="D337" s="31" t="s">
        <v>565</v>
      </c>
      <c r="E337" s="197">
        <v>0</v>
      </c>
      <c r="F337" s="197">
        <v>800</v>
      </c>
      <c r="G337" s="197">
        <f t="shared" si="43"/>
        <v>800</v>
      </c>
      <c r="H337" s="197">
        <v>0</v>
      </c>
      <c r="I337" s="209">
        <f>IF(G337&gt;0,H337/G337*100,0)</f>
        <v>0</v>
      </c>
      <c r="J337" s="321">
        <f t="shared" si="42"/>
        <v>0</v>
      </c>
    </row>
    <row r="338" spans="1:10" ht="12.75">
      <c r="A338" s="138" t="s">
        <v>32</v>
      </c>
      <c r="B338" s="24"/>
      <c r="C338" s="18">
        <v>412300</v>
      </c>
      <c r="D338" s="34" t="s">
        <v>146</v>
      </c>
      <c r="E338" s="197">
        <v>3000</v>
      </c>
      <c r="F338" s="197">
        <v>0</v>
      </c>
      <c r="G338" s="197">
        <f t="shared" si="43"/>
        <v>3000</v>
      </c>
      <c r="H338" s="197">
        <v>1345.38</v>
      </c>
      <c r="I338" s="209">
        <f t="shared" si="41"/>
        <v>44.846000000000004</v>
      </c>
      <c r="J338" s="321">
        <f t="shared" si="42"/>
        <v>0.010949340969358054</v>
      </c>
    </row>
    <row r="339" spans="1:10" ht="12.75">
      <c r="A339" s="138" t="s">
        <v>32</v>
      </c>
      <c r="B339" s="24"/>
      <c r="C339" s="18">
        <v>412400</v>
      </c>
      <c r="D339" s="31" t="s">
        <v>147</v>
      </c>
      <c r="E339" s="197">
        <v>4000</v>
      </c>
      <c r="F339" s="197">
        <v>0</v>
      </c>
      <c r="G339" s="197">
        <f t="shared" si="43"/>
        <v>4000</v>
      </c>
      <c r="H339" s="197">
        <v>1743.78</v>
      </c>
      <c r="I339" s="209">
        <f t="shared" si="41"/>
        <v>43.5945</v>
      </c>
      <c r="J339" s="321">
        <f t="shared" si="42"/>
        <v>0.014191709253554523</v>
      </c>
    </row>
    <row r="340" spans="1:10" ht="24">
      <c r="A340" s="138" t="s">
        <v>32</v>
      </c>
      <c r="B340" s="24"/>
      <c r="C340" s="18">
        <v>412400</v>
      </c>
      <c r="D340" s="31" t="s">
        <v>566</v>
      </c>
      <c r="E340" s="197">
        <v>0</v>
      </c>
      <c r="F340" s="197">
        <v>200</v>
      </c>
      <c r="G340" s="197">
        <f t="shared" si="43"/>
        <v>200</v>
      </c>
      <c r="H340" s="197">
        <v>200</v>
      </c>
      <c r="I340" s="209">
        <f>IF(G340&gt;0,H340/G340*100,0)</f>
        <v>100</v>
      </c>
      <c r="J340" s="321">
        <f t="shared" si="42"/>
        <v>0.001627694921785377</v>
      </c>
    </row>
    <row r="341" spans="1:10" ht="12.75">
      <c r="A341" s="138" t="s">
        <v>32</v>
      </c>
      <c r="B341" s="24"/>
      <c r="C341" s="18">
        <v>412500</v>
      </c>
      <c r="D341" s="34" t="s">
        <v>148</v>
      </c>
      <c r="E341" s="197">
        <v>5000</v>
      </c>
      <c r="F341" s="197">
        <v>0</v>
      </c>
      <c r="G341" s="197">
        <f t="shared" si="43"/>
        <v>5000</v>
      </c>
      <c r="H341" s="197">
        <v>2818.79</v>
      </c>
      <c r="I341" s="209">
        <f t="shared" si="41"/>
        <v>56.3758</v>
      </c>
      <c r="J341" s="321">
        <f t="shared" si="42"/>
        <v>0.022940650842897016</v>
      </c>
    </row>
    <row r="342" spans="1:10" ht="12.75">
      <c r="A342" s="138" t="s">
        <v>32</v>
      </c>
      <c r="B342" s="24"/>
      <c r="C342" s="18">
        <v>412600</v>
      </c>
      <c r="D342" s="34" t="s">
        <v>149</v>
      </c>
      <c r="E342" s="197">
        <v>2000</v>
      </c>
      <c r="F342" s="197">
        <v>0</v>
      </c>
      <c r="G342" s="197">
        <f t="shared" si="43"/>
        <v>2000</v>
      </c>
      <c r="H342" s="197">
        <v>1176.5</v>
      </c>
      <c r="I342" s="209">
        <f t="shared" si="41"/>
        <v>58.825</v>
      </c>
      <c r="J342" s="321">
        <f t="shared" si="42"/>
        <v>0.00957491537740248</v>
      </c>
    </row>
    <row r="343" spans="1:10" ht="12.75">
      <c r="A343" s="138" t="s">
        <v>32</v>
      </c>
      <c r="B343" s="24"/>
      <c r="C343" s="79">
        <v>412700</v>
      </c>
      <c r="D343" s="79" t="s">
        <v>150</v>
      </c>
      <c r="E343" s="197">
        <v>4000</v>
      </c>
      <c r="F343" s="197">
        <v>0</v>
      </c>
      <c r="G343" s="197">
        <f t="shared" si="43"/>
        <v>4000</v>
      </c>
      <c r="H343" s="197">
        <v>629.63</v>
      </c>
      <c r="I343" s="209">
        <f t="shared" si="41"/>
        <v>15.74075</v>
      </c>
      <c r="J343" s="321">
        <f t="shared" si="42"/>
        <v>0.005124227768018635</v>
      </c>
    </row>
    <row r="344" spans="1:10" ht="12.75">
      <c r="A344" s="138" t="s">
        <v>32</v>
      </c>
      <c r="B344" s="24"/>
      <c r="C344" s="79">
        <v>412900</v>
      </c>
      <c r="D344" s="79" t="s">
        <v>152</v>
      </c>
      <c r="E344" s="197">
        <v>7000</v>
      </c>
      <c r="F344" s="197">
        <v>0</v>
      </c>
      <c r="G344" s="197">
        <f t="shared" si="43"/>
        <v>7000</v>
      </c>
      <c r="H344" s="197">
        <v>5123.05</v>
      </c>
      <c r="I344" s="209">
        <f t="shared" si="41"/>
        <v>73.18642857142858</v>
      </c>
      <c r="J344" s="321">
        <f t="shared" si="42"/>
        <v>0.041693812345262884</v>
      </c>
    </row>
    <row r="345" spans="1:10" ht="14.25" customHeight="1">
      <c r="A345" s="138"/>
      <c r="B345" s="24">
        <v>511000</v>
      </c>
      <c r="C345" s="34"/>
      <c r="D345" s="33" t="s">
        <v>161</v>
      </c>
      <c r="E345" s="251">
        <f>SUM(E346:E346)</f>
        <v>3000</v>
      </c>
      <c r="F345" s="251">
        <f>SUM(F346:F346)</f>
        <v>0</v>
      </c>
      <c r="G345" s="251">
        <f>SUM(G346:G346)</f>
        <v>3000</v>
      </c>
      <c r="H345" s="251">
        <f>SUM(H346:H346)</f>
        <v>0</v>
      </c>
      <c r="I345" s="188">
        <f t="shared" si="41"/>
        <v>0</v>
      </c>
      <c r="J345" s="318">
        <f t="shared" si="42"/>
        <v>0</v>
      </c>
    </row>
    <row r="346" spans="1:10" ht="12.75">
      <c r="A346" s="138" t="s">
        <v>32</v>
      </c>
      <c r="B346" s="34"/>
      <c r="C346" s="34">
        <v>511300</v>
      </c>
      <c r="D346" s="34" t="s">
        <v>2</v>
      </c>
      <c r="E346" s="197">
        <v>3000</v>
      </c>
      <c r="F346" s="197">
        <v>0</v>
      </c>
      <c r="G346" s="197">
        <f t="shared" si="43"/>
        <v>3000</v>
      </c>
      <c r="H346" s="197">
        <v>0</v>
      </c>
      <c r="I346" s="209">
        <f t="shared" si="41"/>
        <v>0</v>
      </c>
      <c r="J346" s="321">
        <f t="shared" si="42"/>
        <v>0</v>
      </c>
    </row>
    <row r="347" spans="1:10" ht="24">
      <c r="A347" s="206"/>
      <c r="B347" s="24">
        <v>516000</v>
      </c>
      <c r="C347" s="34"/>
      <c r="D347" s="33" t="s">
        <v>368</v>
      </c>
      <c r="E347" s="251">
        <f>SUM(E348)</f>
        <v>500</v>
      </c>
      <c r="F347" s="251">
        <f>SUM(F348)</f>
        <v>0</v>
      </c>
      <c r="G347" s="251">
        <f>SUM(G348)</f>
        <v>500</v>
      </c>
      <c r="H347" s="251">
        <f>SUM(H348)</f>
        <v>222.7</v>
      </c>
      <c r="I347" s="188">
        <f t="shared" si="41"/>
        <v>44.54</v>
      </c>
      <c r="J347" s="318">
        <f t="shared" si="42"/>
        <v>0.001812438295408017</v>
      </c>
    </row>
    <row r="348" spans="1:10" ht="14.25" customHeight="1">
      <c r="A348" s="138" t="s">
        <v>32</v>
      </c>
      <c r="B348" s="34"/>
      <c r="C348" s="34">
        <v>516100</v>
      </c>
      <c r="D348" s="31" t="s">
        <v>348</v>
      </c>
      <c r="E348" s="197">
        <v>500</v>
      </c>
      <c r="F348" s="197">
        <v>0</v>
      </c>
      <c r="G348" s="197">
        <f t="shared" si="43"/>
        <v>500</v>
      </c>
      <c r="H348" s="197">
        <v>222.7</v>
      </c>
      <c r="I348" s="209">
        <f t="shared" si="41"/>
        <v>44.54</v>
      </c>
      <c r="J348" s="321">
        <f t="shared" si="42"/>
        <v>0.001812438295408017</v>
      </c>
    </row>
    <row r="349" spans="1:10" ht="24.75" customHeight="1">
      <c r="A349" s="554"/>
      <c r="B349" s="555"/>
      <c r="C349" s="549" t="s">
        <v>93</v>
      </c>
      <c r="D349" s="549"/>
      <c r="E349" s="72">
        <f>E333+E335+E345+E347</f>
        <v>74500</v>
      </c>
      <c r="F349" s="72">
        <f>F333+F335+F345+F347</f>
        <v>1000</v>
      </c>
      <c r="G349" s="72">
        <f>G333+G335+G345+G347</f>
        <v>75500</v>
      </c>
      <c r="H349" s="72">
        <f>H333+H335+H345+H347</f>
        <v>29043.079999999998</v>
      </c>
      <c r="I349" s="326">
        <f t="shared" si="41"/>
        <v>38.46765562913907</v>
      </c>
      <c r="J349" s="328">
        <f t="shared" si="42"/>
        <v>0.2363663691450322</v>
      </c>
    </row>
    <row r="350" spans="1:10" ht="9.75" customHeight="1">
      <c r="A350" s="554"/>
      <c r="B350" s="555"/>
      <c r="C350" s="545" t="s">
        <v>280</v>
      </c>
      <c r="D350" s="552"/>
      <c r="E350" s="176"/>
      <c r="F350" s="176"/>
      <c r="G350" s="176"/>
      <c r="H350" s="176"/>
      <c r="I350" s="176"/>
      <c r="J350" s="375"/>
    </row>
    <row r="351" spans="1:10" ht="30" customHeight="1">
      <c r="A351" s="554"/>
      <c r="B351" s="555"/>
      <c r="C351" s="553"/>
      <c r="D351" s="552"/>
      <c r="E351" s="178"/>
      <c r="F351" s="178"/>
      <c r="G351" s="178"/>
      <c r="H351" s="178"/>
      <c r="I351" s="178"/>
      <c r="J351" s="377"/>
    </row>
    <row r="352" spans="1:10" ht="14.25" customHeight="1">
      <c r="A352" s="29"/>
      <c r="B352" s="24">
        <v>411000</v>
      </c>
      <c r="C352" s="26"/>
      <c r="D352" s="37" t="s">
        <v>414</v>
      </c>
      <c r="E352" s="360">
        <f>SUM(E353)</f>
        <v>28000</v>
      </c>
      <c r="F352" s="360">
        <f>SUM(F353)</f>
        <v>0</v>
      </c>
      <c r="G352" s="360">
        <f>SUM(G353)</f>
        <v>28000</v>
      </c>
      <c r="H352" s="360">
        <f>SUM(H353)</f>
        <v>18329.85</v>
      </c>
      <c r="I352" s="360">
        <f aca="true" t="shared" si="44" ref="I352:I372">IF(G352&gt;0,H352/G352*100,0)</f>
        <v>65.46375</v>
      </c>
      <c r="J352" s="361">
        <f aca="true" t="shared" si="45" ref="J352:J369">H352/$H$494*100</f>
        <v>0.14917701881043846</v>
      </c>
    </row>
    <row r="353" spans="1:10" ht="14.25" customHeight="1">
      <c r="A353" s="138" t="s">
        <v>57</v>
      </c>
      <c r="B353" s="34"/>
      <c r="C353" s="18">
        <v>411200</v>
      </c>
      <c r="D353" s="30" t="s">
        <v>3</v>
      </c>
      <c r="E353" s="197">
        <v>28000</v>
      </c>
      <c r="F353" s="197">
        <v>0</v>
      </c>
      <c r="G353" s="197">
        <f aca="true" t="shared" si="46" ref="G353:G371">E353+F353</f>
        <v>28000</v>
      </c>
      <c r="H353" s="197">
        <v>18329.85</v>
      </c>
      <c r="I353" s="209">
        <f t="shared" si="44"/>
        <v>65.46375</v>
      </c>
      <c r="J353" s="321">
        <f t="shared" si="45"/>
        <v>0.14917701881043846</v>
      </c>
    </row>
    <row r="354" spans="1:10" ht="14.25" customHeight="1">
      <c r="A354" s="29"/>
      <c r="B354" s="24">
        <v>412000</v>
      </c>
      <c r="C354" s="18"/>
      <c r="D354" s="37" t="s">
        <v>143</v>
      </c>
      <c r="E354" s="188">
        <f>SUM(E355:E362)</f>
        <v>56000</v>
      </c>
      <c r="F354" s="188">
        <f>SUM(F355:F362)</f>
        <v>289.96</v>
      </c>
      <c r="G354" s="188">
        <f>SUM(G355:G362)</f>
        <v>56289.96</v>
      </c>
      <c r="H354" s="188">
        <f>SUM(H355:H362)</f>
        <v>20313.84</v>
      </c>
      <c r="I354" s="188">
        <f t="shared" si="44"/>
        <v>36.087856520061486</v>
      </c>
      <c r="J354" s="318">
        <f t="shared" si="45"/>
        <v>0.16532367104980333</v>
      </c>
    </row>
    <row r="355" spans="1:10" ht="24">
      <c r="A355" s="92" t="s">
        <v>57</v>
      </c>
      <c r="B355" s="24"/>
      <c r="C355" s="18">
        <v>412200</v>
      </c>
      <c r="D355" s="31" t="s">
        <v>145</v>
      </c>
      <c r="E355" s="197">
        <v>21000</v>
      </c>
      <c r="F355" s="197">
        <v>0</v>
      </c>
      <c r="G355" s="197">
        <f t="shared" si="46"/>
        <v>21000</v>
      </c>
      <c r="H355" s="197">
        <v>10159.06</v>
      </c>
      <c r="I355" s="209">
        <f t="shared" si="44"/>
        <v>48.37647619047619</v>
      </c>
      <c r="J355" s="321">
        <f t="shared" si="45"/>
        <v>0.08267925186056475</v>
      </c>
    </row>
    <row r="356" spans="1:10" ht="24.75" customHeight="1">
      <c r="A356" s="92" t="s">
        <v>57</v>
      </c>
      <c r="B356" s="24"/>
      <c r="C356" s="18">
        <v>412200</v>
      </c>
      <c r="D356" s="31" t="s">
        <v>446</v>
      </c>
      <c r="E356" s="197">
        <v>0</v>
      </c>
      <c r="F356" s="197">
        <v>375</v>
      </c>
      <c r="G356" s="197">
        <f t="shared" si="46"/>
        <v>375</v>
      </c>
      <c r="H356" s="197">
        <v>375</v>
      </c>
      <c r="I356" s="209">
        <f t="shared" si="44"/>
        <v>100</v>
      </c>
      <c r="J356" s="321">
        <f t="shared" si="45"/>
        <v>0.0030519279783475816</v>
      </c>
    </row>
    <row r="357" spans="1:10" ht="12.75">
      <c r="A357" s="92" t="s">
        <v>57</v>
      </c>
      <c r="B357" s="24"/>
      <c r="C357" s="18">
        <v>412300</v>
      </c>
      <c r="D357" s="34" t="s">
        <v>146</v>
      </c>
      <c r="E357" s="197">
        <v>3500</v>
      </c>
      <c r="F357" s="197">
        <v>-85.04</v>
      </c>
      <c r="G357" s="197">
        <f t="shared" si="46"/>
        <v>3414.96</v>
      </c>
      <c r="H357" s="197">
        <v>748.02</v>
      </c>
      <c r="I357" s="209">
        <f t="shared" si="44"/>
        <v>21.90420971255886</v>
      </c>
      <c r="J357" s="321">
        <f t="shared" si="45"/>
        <v>0.0060877417769694886</v>
      </c>
    </row>
    <row r="358" spans="1:10" ht="12.75">
      <c r="A358" s="92" t="s">
        <v>57</v>
      </c>
      <c r="B358" s="24"/>
      <c r="C358" s="18">
        <v>412400</v>
      </c>
      <c r="D358" s="31" t="s">
        <v>147</v>
      </c>
      <c r="E358" s="197">
        <v>12000</v>
      </c>
      <c r="F358" s="197">
        <v>0</v>
      </c>
      <c r="G358" s="197">
        <f t="shared" si="46"/>
        <v>12000</v>
      </c>
      <c r="H358" s="197">
        <v>3953.9</v>
      </c>
      <c r="I358" s="209">
        <f t="shared" si="44"/>
        <v>32.94916666666667</v>
      </c>
      <c r="J358" s="321">
        <f t="shared" si="45"/>
        <v>0.032178714756236015</v>
      </c>
    </row>
    <row r="359" spans="1:10" ht="12.75">
      <c r="A359" s="92" t="s">
        <v>57</v>
      </c>
      <c r="B359" s="24"/>
      <c r="C359" s="18">
        <v>412500</v>
      </c>
      <c r="D359" s="34" t="s">
        <v>148</v>
      </c>
      <c r="E359" s="197">
        <v>5000</v>
      </c>
      <c r="F359" s="197">
        <v>0</v>
      </c>
      <c r="G359" s="197">
        <f t="shared" si="46"/>
        <v>5000</v>
      </c>
      <c r="H359" s="197">
        <v>644.98</v>
      </c>
      <c r="I359" s="209">
        <f t="shared" si="44"/>
        <v>12.8996</v>
      </c>
      <c r="J359" s="321">
        <f t="shared" si="45"/>
        <v>0.005249153353265662</v>
      </c>
    </row>
    <row r="360" spans="1:10" ht="12.75">
      <c r="A360" s="92" t="s">
        <v>57</v>
      </c>
      <c r="B360" s="24"/>
      <c r="C360" s="18">
        <v>412600</v>
      </c>
      <c r="D360" s="34" t="s">
        <v>149</v>
      </c>
      <c r="E360" s="197">
        <v>1500</v>
      </c>
      <c r="F360" s="197">
        <v>0</v>
      </c>
      <c r="G360" s="197">
        <f t="shared" si="46"/>
        <v>1500</v>
      </c>
      <c r="H360" s="197">
        <v>719.6</v>
      </c>
      <c r="I360" s="209">
        <f t="shared" si="44"/>
        <v>47.973333333333336</v>
      </c>
      <c r="J360" s="321">
        <f t="shared" si="45"/>
        <v>0.0058564463285837864</v>
      </c>
    </row>
    <row r="361" spans="1:10" ht="12.75">
      <c r="A361" s="92" t="s">
        <v>57</v>
      </c>
      <c r="B361" s="24"/>
      <c r="C361" s="79">
        <v>412700</v>
      </c>
      <c r="D361" s="79" t="s">
        <v>150</v>
      </c>
      <c r="E361" s="185">
        <v>9000</v>
      </c>
      <c r="F361" s="185">
        <v>0</v>
      </c>
      <c r="G361" s="185">
        <f t="shared" si="46"/>
        <v>9000</v>
      </c>
      <c r="H361" s="185">
        <v>2502.01</v>
      </c>
      <c r="I361" s="209">
        <f t="shared" si="44"/>
        <v>27.800111111111114</v>
      </c>
      <c r="J361" s="321">
        <f t="shared" si="45"/>
        <v>0.020362544856281157</v>
      </c>
    </row>
    <row r="362" spans="1:10" ht="12.75">
      <c r="A362" s="92" t="s">
        <v>57</v>
      </c>
      <c r="B362" s="24"/>
      <c r="C362" s="79">
        <v>412900</v>
      </c>
      <c r="D362" s="79" t="s">
        <v>152</v>
      </c>
      <c r="E362" s="197">
        <v>4000</v>
      </c>
      <c r="F362" s="197">
        <v>0</v>
      </c>
      <c r="G362" s="197">
        <f t="shared" si="46"/>
        <v>4000</v>
      </c>
      <c r="H362" s="197">
        <v>1211.27</v>
      </c>
      <c r="I362" s="209">
        <f t="shared" si="44"/>
        <v>30.281750000000002</v>
      </c>
      <c r="J362" s="321">
        <f t="shared" si="45"/>
        <v>0.009857890139554867</v>
      </c>
    </row>
    <row r="363" spans="1:10" ht="12.75">
      <c r="A363" s="92"/>
      <c r="B363" s="24">
        <v>419100</v>
      </c>
      <c r="C363" s="79"/>
      <c r="D363" s="36" t="s">
        <v>448</v>
      </c>
      <c r="E363" s="332">
        <f>E364</f>
        <v>4150</v>
      </c>
      <c r="F363" s="332">
        <f>F364</f>
        <v>0</v>
      </c>
      <c r="G363" s="332">
        <f>G364</f>
        <v>4150</v>
      </c>
      <c r="H363" s="332">
        <f>H364</f>
        <v>4150</v>
      </c>
      <c r="I363" s="332">
        <f t="shared" si="44"/>
        <v>100</v>
      </c>
      <c r="J363" s="333">
        <f t="shared" si="45"/>
        <v>0.033774669627046575</v>
      </c>
    </row>
    <row r="364" spans="1:10" ht="12.75">
      <c r="A364" s="92" t="s">
        <v>57</v>
      </c>
      <c r="B364" s="24"/>
      <c r="C364" s="79">
        <v>419100</v>
      </c>
      <c r="D364" s="34" t="s">
        <v>448</v>
      </c>
      <c r="E364" s="197">
        <v>4150</v>
      </c>
      <c r="F364" s="197">
        <v>0</v>
      </c>
      <c r="G364" s="197">
        <f t="shared" si="46"/>
        <v>4150</v>
      </c>
      <c r="H364" s="197">
        <v>4150</v>
      </c>
      <c r="I364" s="209">
        <f t="shared" si="44"/>
        <v>100</v>
      </c>
      <c r="J364" s="321">
        <f t="shared" si="45"/>
        <v>0.033774669627046575</v>
      </c>
    </row>
    <row r="365" spans="1:10" ht="14.25" customHeight="1">
      <c r="A365" s="138"/>
      <c r="B365" s="24">
        <v>511000</v>
      </c>
      <c r="C365" s="18"/>
      <c r="D365" s="33" t="s">
        <v>161</v>
      </c>
      <c r="E365" s="188">
        <f>SUM(E367:E369)</f>
        <v>3000</v>
      </c>
      <c r="F365" s="188">
        <f>SUM(F367:F369)</f>
        <v>1020.5</v>
      </c>
      <c r="G365" s="188">
        <f>SUM(G367:G369)</f>
        <v>4020.5</v>
      </c>
      <c r="H365" s="188">
        <f>SUM(H367:H369)</f>
        <v>3000.62</v>
      </c>
      <c r="I365" s="188">
        <f t="shared" si="44"/>
        <v>74.63300584504414</v>
      </c>
      <c r="J365" s="318">
        <f t="shared" si="45"/>
        <v>0.024420469681038188</v>
      </c>
    </row>
    <row r="366" spans="1:10" ht="26.25" customHeight="1" hidden="1">
      <c r="A366" s="138" t="s">
        <v>57</v>
      </c>
      <c r="B366" s="24"/>
      <c r="C366" s="18">
        <v>511200</v>
      </c>
      <c r="D366" s="31" t="s">
        <v>172</v>
      </c>
      <c r="E366" s="197"/>
      <c r="F366" s="197"/>
      <c r="G366" s="197">
        <f t="shared" si="46"/>
        <v>0</v>
      </c>
      <c r="H366" s="197"/>
      <c r="I366" s="188">
        <f t="shared" si="44"/>
        <v>0</v>
      </c>
      <c r="J366" s="318">
        <f t="shared" si="45"/>
        <v>0</v>
      </c>
    </row>
    <row r="367" spans="1:11" ht="15.75" customHeight="1">
      <c r="A367" s="138" t="s">
        <v>57</v>
      </c>
      <c r="B367" s="34"/>
      <c r="C367" s="18">
        <v>511300</v>
      </c>
      <c r="D367" s="34" t="s">
        <v>2</v>
      </c>
      <c r="E367" s="197">
        <v>3000</v>
      </c>
      <c r="F367" s="197">
        <v>0</v>
      </c>
      <c r="G367" s="197">
        <f t="shared" si="46"/>
        <v>3000</v>
      </c>
      <c r="H367" s="197">
        <v>1980.12</v>
      </c>
      <c r="I367" s="209">
        <f t="shared" si="44"/>
        <v>66.00399999999999</v>
      </c>
      <c r="J367" s="321">
        <f t="shared" si="45"/>
        <v>0.016115156342628303</v>
      </c>
      <c r="K367" s="475"/>
    </row>
    <row r="368" spans="1:10" ht="24.75" customHeight="1" hidden="1">
      <c r="A368" s="138" t="s">
        <v>57</v>
      </c>
      <c r="B368" s="34"/>
      <c r="C368" s="18">
        <v>511300</v>
      </c>
      <c r="D368" s="31" t="s">
        <v>495</v>
      </c>
      <c r="E368" s="197">
        <v>0</v>
      </c>
      <c r="F368" s="197"/>
      <c r="G368" s="197">
        <f t="shared" si="46"/>
        <v>0</v>
      </c>
      <c r="H368" s="197"/>
      <c r="I368" s="209">
        <f t="shared" si="44"/>
        <v>0</v>
      </c>
      <c r="J368" s="321">
        <f t="shared" si="45"/>
        <v>0</v>
      </c>
    </row>
    <row r="369" spans="1:10" ht="14.25" customHeight="1">
      <c r="A369" s="138" t="s">
        <v>57</v>
      </c>
      <c r="B369" s="34"/>
      <c r="C369" s="18">
        <v>511300</v>
      </c>
      <c r="D369" s="34" t="s">
        <v>447</v>
      </c>
      <c r="E369" s="197">
        <v>0</v>
      </c>
      <c r="F369" s="197">
        <v>1020.5</v>
      </c>
      <c r="G369" s="197">
        <f t="shared" si="46"/>
        <v>1020.5</v>
      </c>
      <c r="H369" s="197">
        <v>1020.5</v>
      </c>
      <c r="I369" s="209">
        <f t="shared" si="44"/>
        <v>100</v>
      </c>
      <c r="J369" s="321">
        <f t="shared" si="45"/>
        <v>0.008305313338409885</v>
      </c>
    </row>
    <row r="370" spans="1:10" ht="22.5" customHeight="1">
      <c r="A370" s="138"/>
      <c r="B370" s="24">
        <v>516000</v>
      </c>
      <c r="C370" s="18"/>
      <c r="D370" s="33" t="s">
        <v>368</v>
      </c>
      <c r="E370" s="188">
        <f>SUM(E371)</f>
        <v>0</v>
      </c>
      <c r="F370" s="188">
        <f>SUM(F371)</f>
        <v>85.04</v>
      </c>
      <c r="G370" s="188">
        <f>SUM(G371)</f>
        <v>85.04</v>
      </c>
      <c r="H370" s="188">
        <f>SUM(H371)</f>
        <v>85.04</v>
      </c>
      <c r="I370" s="188">
        <v>57.03733333333333</v>
      </c>
      <c r="J370" s="318">
        <v>0.06364836369524295</v>
      </c>
    </row>
    <row r="371" spans="1:10" ht="15.75" customHeight="1">
      <c r="A371" s="138" t="s">
        <v>57</v>
      </c>
      <c r="B371" s="34"/>
      <c r="C371" s="18">
        <v>516100</v>
      </c>
      <c r="D371" s="31" t="s">
        <v>348</v>
      </c>
      <c r="E371" s="197">
        <v>0</v>
      </c>
      <c r="F371" s="197">
        <v>85.04</v>
      </c>
      <c r="G371" s="197">
        <f t="shared" si="46"/>
        <v>85.04</v>
      </c>
      <c r="H371" s="197">
        <v>85.04</v>
      </c>
      <c r="I371" s="209">
        <v>57.03733333333333</v>
      </c>
      <c r="J371" s="321">
        <v>0.06364836369524295</v>
      </c>
    </row>
    <row r="372" spans="1:10" ht="30" customHeight="1">
      <c r="A372" s="554"/>
      <c r="B372" s="555"/>
      <c r="C372" s="549" t="s">
        <v>94</v>
      </c>
      <c r="D372" s="550"/>
      <c r="E372" s="72">
        <f>E352+E354+E365+E363+E370</f>
        <v>91150</v>
      </c>
      <c r="F372" s="72">
        <f>F352+F354+F365+F363+F370</f>
        <v>1395.5</v>
      </c>
      <c r="G372" s="72">
        <f>G352+G354+G365+G363+G370</f>
        <v>92545.49999999999</v>
      </c>
      <c r="H372" s="72">
        <f>H352+H354+H365+H363+H370</f>
        <v>45879.350000000006</v>
      </c>
      <c r="I372" s="326">
        <f t="shared" si="44"/>
        <v>49.574911800141564</v>
      </c>
      <c r="J372" s="328">
        <f>H372/$H$494*100</f>
        <v>0.37338792504906976</v>
      </c>
    </row>
    <row r="373" spans="1:10" ht="25.5" customHeight="1">
      <c r="A373" s="581"/>
      <c r="B373" s="579"/>
      <c r="C373" s="545" t="s">
        <v>456</v>
      </c>
      <c r="D373" s="553"/>
      <c r="E373" s="573"/>
      <c r="F373" s="573"/>
      <c r="G373" s="573"/>
      <c r="H373" s="573"/>
      <c r="I373" s="573"/>
      <c r="J373" s="574"/>
    </row>
    <row r="374" spans="1:10" ht="15.75" customHeight="1">
      <c r="A374" s="582"/>
      <c r="B374" s="580"/>
      <c r="C374" s="553"/>
      <c r="D374" s="553"/>
      <c r="E374" s="575"/>
      <c r="F374" s="575"/>
      <c r="G374" s="575"/>
      <c r="H374" s="575"/>
      <c r="I374" s="575"/>
      <c r="J374" s="576"/>
    </row>
    <row r="375" spans="1:10" ht="12.75">
      <c r="A375" s="356"/>
      <c r="B375" s="341" t="s">
        <v>457</v>
      </c>
      <c r="C375" s="340"/>
      <c r="D375" s="37" t="s">
        <v>414</v>
      </c>
      <c r="E375" s="360">
        <f>SUM(E376)</f>
        <v>3000</v>
      </c>
      <c r="F375" s="360">
        <f>SUM(F376)</f>
        <v>0</v>
      </c>
      <c r="G375" s="360">
        <f>SUM(G376)</f>
        <v>3000</v>
      </c>
      <c r="H375" s="360">
        <f>SUM(H376)</f>
        <v>774.4</v>
      </c>
      <c r="I375" s="360">
        <f aca="true" t="shared" si="47" ref="I375:I383">IF(G375&gt;0,H375/G375*100,0)</f>
        <v>25.813333333333333</v>
      </c>
      <c r="J375" s="361">
        <f aca="true" t="shared" si="48" ref="J375:J383">H375/$H$494*100</f>
        <v>0.00630243473715298</v>
      </c>
    </row>
    <row r="376" spans="1:10" ht="12.75">
      <c r="A376" s="342" t="s">
        <v>32</v>
      </c>
      <c r="B376" s="341"/>
      <c r="C376" s="343">
        <v>411200</v>
      </c>
      <c r="D376" s="30" t="s">
        <v>3</v>
      </c>
      <c r="E376" s="71">
        <v>3000</v>
      </c>
      <c r="F376" s="71">
        <v>0</v>
      </c>
      <c r="G376" s="71">
        <f aca="true" t="shared" si="49" ref="G376:G382">E376+F376</f>
        <v>3000</v>
      </c>
      <c r="H376" s="71">
        <v>774.4</v>
      </c>
      <c r="I376" s="320">
        <f t="shared" si="47"/>
        <v>25.813333333333333</v>
      </c>
      <c r="J376" s="321">
        <f t="shared" si="48"/>
        <v>0.00630243473715298</v>
      </c>
    </row>
    <row r="377" spans="1:10" ht="12.75">
      <c r="A377" s="342"/>
      <c r="B377" s="341" t="s">
        <v>458</v>
      </c>
      <c r="C377" s="340"/>
      <c r="D377" s="37" t="s">
        <v>143</v>
      </c>
      <c r="E377" s="360">
        <f>SUM(E378:E382)</f>
        <v>8500</v>
      </c>
      <c r="F377" s="360">
        <f>SUM(F378:F382)</f>
        <v>0</v>
      </c>
      <c r="G377" s="360">
        <f>SUM(G378:G382)</f>
        <v>8500</v>
      </c>
      <c r="H377" s="360">
        <f>SUM(H378:H382)</f>
        <v>6192.97</v>
      </c>
      <c r="I377" s="360">
        <f t="shared" si="47"/>
        <v>72.8584705882353</v>
      </c>
      <c r="J377" s="361">
        <f t="shared" si="48"/>
        <v>0.05040132909884593</v>
      </c>
    </row>
    <row r="378" spans="1:10" ht="24">
      <c r="A378" s="342" t="s">
        <v>32</v>
      </c>
      <c r="B378" s="341"/>
      <c r="C378" s="343">
        <v>412200</v>
      </c>
      <c r="D378" s="31" t="s">
        <v>145</v>
      </c>
      <c r="E378" s="71">
        <v>6000</v>
      </c>
      <c r="F378" s="71">
        <v>0</v>
      </c>
      <c r="G378" s="71">
        <f t="shared" si="49"/>
        <v>6000</v>
      </c>
      <c r="H378" s="71">
        <v>5884.52</v>
      </c>
      <c r="I378" s="320">
        <f t="shared" si="47"/>
        <v>98.07533333333333</v>
      </c>
      <c r="J378" s="321">
        <f t="shared" si="48"/>
        <v>0.04789101660572244</v>
      </c>
    </row>
    <row r="379" spans="1:10" ht="12.75">
      <c r="A379" s="342" t="s">
        <v>32</v>
      </c>
      <c r="B379" s="341"/>
      <c r="C379" s="343">
        <v>412300</v>
      </c>
      <c r="D379" s="34" t="s">
        <v>146</v>
      </c>
      <c r="E379" s="71">
        <v>700</v>
      </c>
      <c r="F379" s="71">
        <v>0</v>
      </c>
      <c r="G379" s="71">
        <f t="shared" si="49"/>
        <v>700</v>
      </c>
      <c r="H379" s="71">
        <v>132.95</v>
      </c>
      <c r="I379" s="320">
        <f t="shared" si="47"/>
        <v>18.99285714285714</v>
      </c>
      <c r="J379" s="321">
        <f t="shared" si="48"/>
        <v>0.0010820101992568294</v>
      </c>
    </row>
    <row r="380" spans="1:10" ht="12.75">
      <c r="A380" s="342" t="s">
        <v>32</v>
      </c>
      <c r="B380" s="341"/>
      <c r="C380" s="343">
        <v>412400</v>
      </c>
      <c r="D380" s="31" t="s">
        <v>147</v>
      </c>
      <c r="E380" s="71">
        <v>200</v>
      </c>
      <c r="F380" s="71">
        <v>0</v>
      </c>
      <c r="G380" s="71">
        <f t="shared" si="49"/>
        <v>200</v>
      </c>
      <c r="H380" s="71">
        <v>0</v>
      </c>
      <c r="I380" s="320">
        <f t="shared" si="47"/>
        <v>0</v>
      </c>
      <c r="J380" s="321">
        <f t="shared" si="48"/>
        <v>0</v>
      </c>
    </row>
    <row r="381" spans="1:10" ht="12.75">
      <c r="A381" s="342" t="s">
        <v>32</v>
      </c>
      <c r="B381" s="341"/>
      <c r="C381" s="343">
        <v>412700</v>
      </c>
      <c r="D381" s="79" t="s">
        <v>150</v>
      </c>
      <c r="E381" s="71">
        <v>1000</v>
      </c>
      <c r="F381" s="71">
        <v>0</v>
      </c>
      <c r="G381" s="71">
        <f t="shared" si="49"/>
        <v>1000</v>
      </c>
      <c r="H381" s="71">
        <v>175.5</v>
      </c>
      <c r="I381" s="320">
        <f t="shared" si="47"/>
        <v>17.549999999999997</v>
      </c>
      <c r="J381" s="321">
        <f t="shared" si="48"/>
        <v>0.0014283022938666682</v>
      </c>
    </row>
    <row r="382" spans="1:10" ht="12.75">
      <c r="A382" s="342" t="s">
        <v>32</v>
      </c>
      <c r="B382" s="341"/>
      <c r="C382" s="343">
        <v>412900</v>
      </c>
      <c r="D382" s="79" t="s">
        <v>152</v>
      </c>
      <c r="E382" s="320">
        <v>600</v>
      </c>
      <c r="F382" s="320">
        <v>0</v>
      </c>
      <c r="G382" s="320">
        <f t="shared" si="49"/>
        <v>600</v>
      </c>
      <c r="H382" s="320">
        <v>0</v>
      </c>
      <c r="I382" s="320">
        <f t="shared" si="47"/>
        <v>0</v>
      </c>
      <c r="J382" s="321">
        <f t="shared" si="48"/>
        <v>0</v>
      </c>
    </row>
    <row r="383" spans="1:10" ht="30" customHeight="1">
      <c r="A383" s="577"/>
      <c r="B383" s="578"/>
      <c r="C383" s="549" t="s">
        <v>459</v>
      </c>
      <c r="D383" s="550"/>
      <c r="E383" s="362">
        <f>E375+E377</f>
        <v>11500</v>
      </c>
      <c r="F383" s="362">
        <f>F375+F377</f>
        <v>0</v>
      </c>
      <c r="G383" s="362">
        <f>G375+G377</f>
        <v>11500</v>
      </c>
      <c r="H383" s="362">
        <f>H375+H377</f>
        <v>6967.37</v>
      </c>
      <c r="I383" s="362">
        <f t="shared" si="47"/>
        <v>60.585826086956516</v>
      </c>
      <c r="J383" s="352">
        <f t="shared" si="48"/>
        <v>0.05670376383599891</v>
      </c>
    </row>
    <row r="384" spans="1:10" ht="9.75" customHeight="1">
      <c r="A384" s="554"/>
      <c r="B384" s="555"/>
      <c r="C384" s="545" t="s">
        <v>365</v>
      </c>
      <c r="D384" s="552"/>
      <c r="E384" s="176"/>
      <c r="F384" s="176"/>
      <c r="G384" s="176"/>
      <c r="H384" s="176"/>
      <c r="I384" s="176"/>
      <c r="J384" s="375"/>
    </row>
    <row r="385" spans="1:10" ht="30" customHeight="1">
      <c r="A385" s="554"/>
      <c r="B385" s="555"/>
      <c r="C385" s="553"/>
      <c r="D385" s="552"/>
      <c r="E385" s="178"/>
      <c r="F385" s="178"/>
      <c r="G385" s="178"/>
      <c r="H385" s="178"/>
      <c r="I385" s="178"/>
      <c r="J385" s="377"/>
    </row>
    <row r="386" spans="1:10" ht="14.25" customHeight="1">
      <c r="A386" s="138"/>
      <c r="B386" s="24">
        <v>411000</v>
      </c>
      <c r="C386" s="34"/>
      <c r="D386" s="27" t="s">
        <v>414</v>
      </c>
      <c r="E386" s="358">
        <f>SUM(E387:E390)</f>
        <v>110000</v>
      </c>
      <c r="F386" s="358">
        <f>SUM(F387:F390)</f>
        <v>0</v>
      </c>
      <c r="G386" s="358">
        <f>SUM(G387:G390)</f>
        <v>110000</v>
      </c>
      <c r="H386" s="358">
        <f>SUM(H387:H390)</f>
        <v>52882.850000000006</v>
      </c>
      <c r="I386" s="360">
        <f aca="true" t="shared" si="50" ref="I386:I408">IF(G386&gt;0,H386/G386*100,0)</f>
        <v>48.07531818181819</v>
      </c>
      <c r="J386" s="361">
        <f aca="true" t="shared" si="51" ref="J386:J408">H386/$H$494*100</f>
        <v>0.4303857319726892</v>
      </c>
    </row>
    <row r="387" spans="1:10" ht="12.75">
      <c r="A387" s="138" t="s">
        <v>36</v>
      </c>
      <c r="B387" s="34"/>
      <c r="C387" s="18">
        <v>411100</v>
      </c>
      <c r="D387" s="28" t="s">
        <v>408</v>
      </c>
      <c r="E387" s="197">
        <v>86000</v>
      </c>
      <c r="F387" s="197">
        <v>0</v>
      </c>
      <c r="G387" s="197">
        <f aca="true" t="shared" si="52" ref="G387:G407">E387+F387</f>
        <v>86000</v>
      </c>
      <c r="H387" s="197">
        <v>44677.44</v>
      </c>
      <c r="I387" s="209">
        <f t="shared" si="50"/>
        <v>51.950511627906984</v>
      </c>
      <c r="J387" s="321">
        <f t="shared" si="51"/>
        <v>0.3636062110318544</v>
      </c>
    </row>
    <row r="388" spans="1:10" ht="24">
      <c r="A388" s="138" t="s">
        <v>36</v>
      </c>
      <c r="B388" s="34"/>
      <c r="C388" s="18">
        <v>411200</v>
      </c>
      <c r="D388" s="28" t="s">
        <v>415</v>
      </c>
      <c r="E388" s="197">
        <v>22000</v>
      </c>
      <c r="F388" s="197">
        <v>0</v>
      </c>
      <c r="G388" s="197">
        <f t="shared" si="52"/>
        <v>22000</v>
      </c>
      <c r="H388" s="197">
        <v>8205.41</v>
      </c>
      <c r="I388" s="209">
        <f t="shared" si="50"/>
        <v>37.29731818181818</v>
      </c>
      <c r="J388" s="321">
        <f t="shared" si="51"/>
        <v>0.06677952094083475</v>
      </c>
    </row>
    <row r="389" spans="1:10" ht="23.25" customHeight="1">
      <c r="A389" s="138" t="s">
        <v>36</v>
      </c>
      <c r="B389" s="34"/>
      <c r="C389" s="18">
        <v>411300</v>
      </c>
      <c r="D389" s="28" t="s">
        <v>409</v>
      </c>
      <c r="E389" s="197">
        <v>1000</v>
      </c>
      <c r="F389" s="197">
        <v>0</v>
      </c>
      <c r="G389" s="197">
        <f t="shared" si="52"/>
        <v>1000</v>
      </c>
      <c r="H389" s="197">
        <v>0</v>
      </c>
      <c r="I389" s="209">
        <f t="shared" si="50"/>
        <v>0</v>
      </c>
      <c r="J389" s="321">
        <f t="shared" si="51"/>
        <v>0</v>
      </c>
    </row>
    <row r="390" spans="1:10" ht="12.75">
      <c r="A390" s="138" t="s">
        <v>36</v>
      </c>
      <c r="B390" s="34"/>
      <c r="C390" s="18">
        <v>411400</v>
      </c>
      <c r="D390" s="30" t="s">
        <v>410</v>
      </c>
      <c r="E390" s="197">
        <v>1000</v>
      </c>
      <c r="F390" s="197">
        <v>0</v>
      </c>
      <c r="G390" s="197">
        <f t="shared" si="52"/>
        <v>1000</v>
      </c>
      <c r="H390" s="197">
        <v>0</v>
      </c>
      <c r="I390" s="209">
        <f t="shared" si="50"/>
        <v>0</v>
      </c>
      <c r="J390" s="321">
        <f t="shared" si="51"/>
        <v>0</v>
      </c>
    </row>
    <row r="391" spans="1:10" ht="14.25" customHeight="1">
      <c r="A391" s="138"/>
      <c r="B391" s="24">
        <v>412000</v>
      </c>
      <c r="C391" s="18"/>
      <c r="D391" s="33" t="s">
        <v>143</v>
      </c>
      <c r="E391" s="188">
        <f>SUM(E392:E400)</f>
        <v>41500</v>
      </c>
      <c r="F391" s="188">
        <f>SUM(F392:F400)</f>
        <v>5000</v>
      </c>
      <c r="G391" s="188">
        <f>SUM(G392:G400)</f>
        <v>46500</v>
      </c>
      <c r="H391" s="188">
        <f>SUM(H392:H400)</f>
        <v>31208.58</v>
      </c>
      <c r="I391" s="188">
        <f t="shared" si="50"/>
        <v>67.11522580645162</v>
      </c>
      <c r="J391" s="318">
        <f t="shared" si="51"/>
        <v>0.25399023591066344</v>
      </c>
    </row>
    <row r="392" spans="1:10" ht="24">
      <c r="A392" s="138" t="s">
        <v>36</v>
      </c>
      <c r="B392" s="24"/>
      <c r="C392" s="18">
        <v>412200</v>
      </c>
      <c r="D392" s="31" t="s">
        <v>145</v>
      </c>
      <c r="E392" s="197">
        <v>15000</v>
      </c>
      <c r="F392" s="197">
        <v>0</v>
      </c>
      <c r="G392" s="197">
        <f t="shared" si="52"/>
        <v>15000</v>
      </c>
      <c r="H392" s="197">
        <v>6640.86</v>
      </c>
      <c r="I392" s="209">
        <f t="shared" si="50"/>
        <v>44.2724</v>
      </c>
      <c r="J392" s="321">
        <f t="shared" si="51"/>
        <v>0.05404647049143819</v>
      </c>
    </row>
    <row r="393" spans="1:10" ht="12.75">
      <c r="A393" s="138" t="s">
        <v>36</v>
      </c>
      <c r="B393" s="24"/>
      <c r="C393" s="18">
        <v>412300</v>
      </c>
      <c r="D393" s="34" t="s">
        <v>146</v>
      </c>
      <c r="E393" s="197">
        <v>1000</v>
      </c>
      <c r="F393" s="197">
        <v>0</v>
      </c>
      <c r="G393" s="197">
        <f t="shared" si="52"/>
        <v>1000</v>
      </c>
      <c r="H393" s="197">
        <v>380.98</v>
      </c>
      <c r="I393" s="209">
        <f t="shared" si="50"/>
        <v>38.098000000000006</v>
      </c>
      <c r="J393" s="321">
        <f t="shared" si="51"/>
        <v>0.0031005960565089648</v>
      </c>
    </row>
    <row r="394" spans="1:10" ht="12.75">
      <c r="A394" s="138" t="s">
        <v>36</v>
      </c>
      <c r="B394" s="24"/>
      <c r="C394" s="18">
        <v>412500</v>
      </c>
      <c r="D394" s="34" t="s">
        <v>148</v>
      </c>
      <c r="E394" s="197">
        <v>1000</v>
      </c>
      <c r="F394" s="197">
        <v>0</v>
      </c>
      <c r="G394" s="197">
        <f t="shared" si="52"/>
        <v>1000</v>
      </c>
      <c r="H394" s="197">
        <v>579.8</v>
      </c>
      <c r="I394" s="209">
        <f t="shared" si="50"/>
        <v>57.98</v>
      </c>
      <c r="J394" s="321">
        <f t="shared" si="51"/>
        <v>0.004718687578255808</v>
      </c>
    </row>
    <row r="395" spans="1:10" ht="12.75">
      <c r="A395" s="138" t="s">
        <v>36</v>
      </c>
      <c r="B395" s="24"/>
      <c r="C395" s="18">
        <v>412600</v>
      </c>
      <c r="D395" s="34" t="s">
        <v>149</v>
      </c>
      <c r="E395" s="197">
        <v>500</v>
      </c>
      <c r="F395" s="197">
        <v>0</v>
      </c>
      <c r="G395" s="197">
        <f t="shared" si="52"/>
        <v>500</v>
      </c>
      <c r="H395" s="197">
        <v>0</v>
      </c>
      <c r="I395" s="209">
        <f t="shared" si="50"/>
        <v>0</v>
      </c>
      <c r="J395" s="321">
        <f t="shared" si="51"/>
        <v>0</v>
      </c>
    </row>
    <row r="396" spans="1:10" ht="12.75" customHeight="1">
      <c r="A396" s="138" t="s">
        <v>36</v>
      </c>
      <c r="B396" s="24"/>
      <c r="C396" s="79">
        <v>412700</v>
      </c>
      <c r="D396" s="79" t="s">
        <v>193</v>
      </c>
      <c r="E396" s="197">
        <v>10000</v>
      </c>
      <c r="F396" s="197">
        <v>0</v>
      </c>
      <c r="G396" s="197">
        <f t="shared" si="52"/>
        <v>10000</v>
      </c>
      <c r="H396" s="197">
        <v>7021.63</v>
      </c>
      <c r="I396" s="209">
        <f t="shared" si="50"/>
        <v>70.2163</v>
      </c>
      <c r="J396" s="321">
        <f t="shared" si="51"/>
        <v>0.057145357468279284</v>
      </c>
    </row>
    <row r="397" spans="1:10" ht="15" customHeight="1" hidden="1">
      <c r="A397" s="138" t="s">
        <v>36</v>
      </c>
      <c r="B397" s="24"/>
      <c r="C397" s="79">
        <v>412700</v>
      </c>
      <c r="D397" s="31" t="s">
        <v>340</v>
      </c>
      <c r="E397" s="185">
        <v>0</v>
      </c>
      <c r="F397" s="185"/>
      <c r="G397" s="185">
        <f t="shared" si="52"/>
        <v>0</v>
      </c>
      <c r="H397" s="185"/>
      <c r="I397" s="209">
        <f t="shared" si="50"/>
        <v>0</v>
      </c>
      <c r="J397" s="321">
        <f t="shared" si="51"/>
        <v>0</v>
      </c>
    </row>
    <row r="398" spans="1:10" ht="24" customHeight="1">
      <c r="A398" s="138" t="s">
        <v>36</v>
      </c>
      <c r="B398" s="24"/>
      <c r="C398" s="79">
        <v>412700</v>
      </c>
      <c r="D398" s="95" t="s">
        <v>197</v>
      </c>
      <c r="E398" s="185">
        <v>10000</v>
      </c>
      <c r="F398" s="185">
        <v>5000</v>
      </c>
      <c r="G398" s="185">
        <f t="shared" si="52"/>
        <v>15000</v>
      </c>
      <c r="H398" s="185">
        <v>14859.99</v>
      </c>
      <c r="I398" s="209">
        <f t="shared" si="50"/>
        <v>99.0666</v>
      </c>
      <c r="J398" s="321">
        <f t="shared" si="51"/>
        <v>0.12093765130390742</v>
      </c>
    </row>
    <row r="399" spans="1:10" ht="24.75" customHeight="1" hidden="1">
      <c r="A399" s="138" t="s">
        <v>36</v>
      </c>
      <c r="B399" s="24"/>
      <c r="C399" s="79">
        <v>412700</v>
      </c>
      <c r="D399" s="31" t="s">
        <v>371</v>
      </c>
      <c r="E399" s="197">
        <v>0</v>
      </c>
      <c r="F399" s="197"/>
      <c r="G399" s="197">
        <f t="shared" si="52"/>
        <v>0</v>
      </c>
      <c r="H399" s="197"/>
      <c r="I399" s="209">
        <f t="shared" si="50"/>
        <v>0</v>
      </c>
      <c r="J399" s="321">
        <f t="shared" si="51"/>
        <v>0</v>
      </c>
    </row>
    <row r="400" spans="1:11" ht="12.75">
      <c r="A400" s="138" t="s">
        <v>36</v>
      </c>
      <c r="B400" s="24"/>
      <c r="C400" s="79">
        <v>412900</v>
      </c>
      <c r="D400" s="95" t="s">
        <v>152</v>
      </c>
      <c r="E400" s="197">
        <v>4000</v>
      </c>
      <c r="F400" s="197">
        <v>0</v>
      </c>
      <c r="G400" s="197">
        <f t="shared" si="52"/>
        <v>4000</v>
      </c>
      <c r="H400" s="197">
        <v>1725.32</v>
      </c>
      <c r="I400" s="209">
        <f t="shared" si="50"/>
        <v>43.132999999999996</v>
      </c>
      <c r="J400" s="321">
        <f t="shared" si="51"/>
        <v>0.014041473012273733</v>
      </c>
      <c r="K400" s="475"/>
    </row>
    <row r="401" spans="1:10" ht="14.25" customHeight="1">
      <c r="A401" s="138"/>
      <c r="B401" s="24">
        <v>511000</v>
      </c>
      <c r="C401" s="34"/>
      <c r="D401" s="33" t="s">
        <v>161</v>
      </c>
      <c r="E401" s="188">
        <f>SUM(E402:E403)</f>
        <v>3000</v>
      </c>
      <c r="F401" s="188">
        <f>SUM(F402:F403)</f>
        <v>0</v>
      </c>
      <c r="G401" s="188">
        <f>SUM(G402:G403)</f>
        <v>3000</v>
      </c>
      <c r="H401" s="188">
        <f>SUM(H402:H403)</f>
        <v>842</v>
      </c>
      <c r="I401" s="188">
        <f t="shared" si="50"/>
        <v>28.066666666666666</v>
      </c>
      <c r="J401" s="318">
        <f t="shared" si="51"/>
        <v>0.006852595620716438</v>
      </c>
    </row>
    <row r="402" spans="1:11" ht="23.25" customHeight="1">
      <c r="A402" s="138" t="s">
        <v>36</v>
      </c>
      <c r="B402" s="34"/>
      <c r="C402" s="18">
        <v>511200</v>
      </c>
      <c r="D402" s="31" t="s">
        <v>172</v>
      </c>
      <c r="E402" s="185">
        <v>1500</v>
      </c>
      <c r="F402" s="185">
        <v>0</v>
      </c>
      <c r="G402" s="185">
        <f t="shared" si="52"/>
        <v>1500</v>
      </c>
      <c r="H402" s="185">
        <v>842</v>
      </c>
      <c r="I402" s="209">
        <f t="shared" si="50"/>
        <v>56.13333333333333</v>
      </c>
      <c r="J402" s="321">
        <f t="shared" si="51"/>
        <v>0.006852595620716438</v>
      </c>
      <c r="K402" s="475"/>
    </row>
    <row r="403" spans="1:11" ht="16.5" customHeight="1">
      <c r="A403" s="138" t="s">
        <v>36</v>
      </c>
      <c r="B403" s="34"/>
      <c r="C403" s="18">
        <v>511300</v>
      </c>
      <c r="D403" s="31" t="s">
        <v>2</v>
      </c>
      <c r="E403" s="185">
        <v>1500</v>
      </c>
      <c r="F403" s="185">
        <v>0</v>
      </c>
      <c r="G403" s="185">
        <f t="shared" si="52"/>
        <v>1500</v>
      </c>
      <c r="H403" s="185">
        <v>0</v>
      </c>
      <c r="I403" s="209">
        <f t="shared" si="50"/>
        <v>0</v>
      </c>
      <c r="J403" s="321">
        <f t="shared" si="51"/>
        <v>0</v>
      </c>
      <c r="K403" s="475"/>
    </row>
    <row r="404" spans="1:10" ht="24">
      <c r="A404" s="138"/>
      <c r="B404" s="24">
        <v>516000</v>
      </c>
      <c r="C404" s="34"/>
      <c r="D404" s="60" t="s">
        <v>368</v>
      </c>
      <c r="E404" s="188">
        <f>SUM(E405:E405)</f>
        <v>4500</v>
      </c>
      <c r="F404" s="188">
        <f>SUM(F405:F405)</f>
        <v>0</v>
      </c>
      <c r="G404" s="188">
        <f>SUM(G405:G405)</f>
        <v>4500</v>
      </c>
      <c r="H404" s="188">
        <f>SUM(H405:H405)</f>
        <v>1511.32</v>
      </c>
      <c r="I404" s="188">
        <f t="shared" si="50"/>
        <v>33.584888888888884</v>
      </c>
      <c r="J404" s="318">
        <f t="shared" si="51"/>
        <v>0.012299839445963379</v>
      </c>
    </row>
    <row r="405" spans="1:10" ht="17.25" customHeight="1">
      <c r="A405" s="138" t="s">
        <v>36</v>
      </c>
      <c r="B405" s="24"/>
      <c r="C405" s="34">
        <v>516100</v>
      </c>
      <c r="D405" s="31" t="s">
        <v>190</v>
      </c>
      <c r="E405" s="209">
        <v>4500</v>
      </c>
      <c r="F405" s="209">
        <v>0</v>
      </c>
      <c r="G405" s="209">
        <f t="shared" si="52"/>
        <v>4500</v>
      </c>
      <c r="H405" s="209">
        <v>1511.32</v>
      </c>
      <c r="I405" s="209">
        <f t="shared" si="50"/>
        <v>33.584888888888884</v>
      </c>
      <c r="J405" s="321">
        <f t="shared" si="51"/>
        <v>0.012299839445963379</v>
      </c>
    </row>
    <row r="406" spans="1:10" ht="22.5" customHeight="1">
      <c r="A406" s="138"/>
      <c r="B406" s="24">
        <v>638000</v>
      </c>
      <c r="C406" s="18"/>
      <c r="D406" s="33" t="s">
        <v>411</v>
      </c>
      <c r="E406" s="66">
        <f>SUM(E407)</f>
        <v>1000</v>
      </c>
      <c r="F406" s="66">
        <f>SUM(F407)</f>
        <v>0</v>
      </c>
      <c r="G406" s="66">
        <f>SUM(G407)</f>
        <v>1000</v>
      </c>
      <c r="H406" s="66">
        <f>SUM(H407)</f>
        <v>0</v>
      </c>
      <c r="I406" s="188">
        <f t="shared" si="50"/>
        <v>0</v>
      </c>
      <c r="J406" s="318">
        <f t="shared" si="51"/>
        <v>0</v>
      </c>
    </row>
    <row r="407" spans="1:10" ht="38.25" customHeight="1">
      <c r="A407" s="138"/>
      <c r="B407" s="34"/>
      <c r="C407" s="18">
        <v>638100</v>
      </c>
      <c r="D407" s="31" t="s">
        <v>412</v>
      </c>
      <c r="E407" s="197">
        <v>1000</v>
      </c>
      <c r="F407" s="197">
        <v>0</v>
      </c>
      <c r="G407" s="197">
        <f t="shared" si="52"/>
        <v>1000</v>
      </c>
      <c r="H407" s="197">
        <v>0</v>
      </c>
      <c r="I407" s="209">
        <f t="shared" si="50"/>
        <v>0</v>
      </c>
      <c r="J407" s="321">
        <f t="shared" si="51"/>
        <v>0</v>
      </c>
    </row>
    <row r="408" spans="1:10" ht="24.75" customHeight="1">
      <c r="A408" s="556"/>
      <c r="B408" s="557"/>
      <c r="C408" s="549" t="s">
        <v>95</v>
      </c>
      <c r="D408" s="550"/>
      <c r="E408" s="350">
        <f>E386+E391+E401+E404+E406</f>
        <v>160000</v>
      </c>
      <c r="F408" s="350">
        <f>F386+F391+F401+F404+F406</f>
        <v>5000</v>
      </c>
      <c r="G408" s="350">
        <f>G386+G391+G401+G404+G406</f>
        <v>165000</v>
      </c>
      <c r="H408" s="350">
        <f>H386+H391+H401+H404+H406</f>
        <v>86444.75000000001</v>
      </c>
      <c r="I408" s="351">
        <f t="shared" si="50"/>
        <v>52.39075757575758</v>
      </c>
      <c r="J408" s="352">
        <f t="shared" si="51"/>
        <v>0.7035284029500325</v>
      </c>
    </row>
    <row r="409" spans="1:10" ht="9.75" customHeight="1">
      <c r="A409" s="556"/>
      <c r="B409" s="557"/>
      <c r="C409" s="545" t="s">
        <v>366</v>
      </c>
      <c r="D409" s="552"/>
      <c r="E409" s="176"/>
      <c r="F409" s="176"/>
      <c r="G409" s="176"/>
      <c r="H409" s="176"/>
      <c r="I409" s="176"/>
      <c r="J409" s="375"/>
    </row>
    <row r="410" spans="1:10" ht="9.75" customHeight="1">
      <c r="A410" s="556"/>
      <c r="B410" s="557"/>
      <c r="C410" s="553"/>
      <c r="D410" s="552"/>
      <c r="E410" s="177"/>
      <c r="F410" s="177"/>
      <c r="G410" s="177"/>
      <c r="H410" s="177"/>
      <c r="I410" s="177"/>
      <c r="J410" s="376"/>
    </row>
    <row r="411" spans="1:10" ht="17.25" customHeight="1">
      <c r="A411" s="556"/>
      <c r="B411" s="557"/>
      <c r="C411" s="553"/>
      <c r="D411" s="552"/>
      <c r="E411" s="178"/>
      <c r="F411" s="178"/>
      <c r="G411" s="178"/>
      <c r="H411" s="178"/>
      <c r="I411" s="178"/>
      <c r="J411" s="377"/>
    </row>
    <row r="412" spans="1:10" ht="14.25" customHeight="1">
      <c r="A412" s="138"/>
      <c r="B412" s="24">
        <v>411000</v>
      </c>
      <c r="C412" s="34"/>
      <c r="D412" s="27" t="s">
        <v>414</v>
      </c>
      <c r="E412" s="358">
        <f>SUM(E413:E416)</f>
        <v>470000</v>
      </c>
      <c r="F412" s="358">
        <f>SUM(F413:F416)</f>
        <v>0</v>
      </c>
      <c r="G412" s="358">
        <f>SUM(G413:G416)</f>
        <v>470000</v>
      </c>
      <c r="H412" s="358">
        <f>SUM(H413:H416)</f>
        <v>226176.57</v>
      </c>
      <c r="I412" s="360">
        <f aca="true" t="shared" si="53" ref="I412:I434">IF(G412&gt;0,H412/G412*100,0)</f>
        <v>48.12267446808511</v>
      </c>
      <c r="J412" s="361">
        <f aca="true" t="shared" si="54" ref="J412:J434">H412/$H$494*100</f>
        <v>1.8407322720791743</v>
      </c>
    </row>
    <row r="413" spans="1:10" ht="12.75">
      <c r="A413" s="138" t="s">
        <v>58</v>
      </c>
      <c r="B413" s="34"/>
      <c r="C413" s="18">
        <v>411100</v>
      </c>
      <c r="D413" s="28" t="s">
        <v>30</v>
      </c>
      <c r="E413" s="197">
        <v>367000</v>
      </c>
      <c r="F413" s="197">
        <v>-1000</v>
      </c>
      <c r="G413" s="197">
        <f aca="true" t="shared" si="55" ref="G413:G433">E413+F413</f>
        <v>366000</v>
      </c>
      <c r="H413" s="197">
        <v>179093.48</v>
      </c>
      <c r="I413" s="209">
        <f t="shared" si="53"/>
        <v>48.93264480874317</v>
      </c>
      <c r="J413" s="321">
        <f t="shared" si="54"/>
        <v>1.457547739604355</v>
      </c>
    </row>
    <row r="414" spans="1:10" ht="12.75">
      <c r="A414" s="138" t="s">
        <v>58</v>
      </c>
      <c r="B414" s="34"/>
      <c r="C414" s="18">
        <v>411200</v>
      </c>
      <c r="D414" s="30" t="s">
        <v>142</v>
      </c>
      <c r="E414" s="197">
        <v>97000</v>
      </c>
      <c r="F414" s="197">
        <v>0</v>
      </c>
      <c r="G414" s="197">
        <f t="shared" si="55"/>
        <v>97000</v>
      </c>
      <c r="H414" s="197">
        <v>40581.23</v>
      </c>
      <c r="I414" s="209">
        <f t="shared" si="53"/>
        <v>41.836319587628864</v>
      </c>
      <c r="J414" s="321">
        <f t="shared" si="54"/>
        <v>0.330269309954022</v>
      </c>
    </row>
    <row r="415" spans="1:10" ht="21.75" customHeight="1">
      <c r="A415" s="138" t="s">
        <v>58</v>
      </c>
      <c r="B415" s="34"/>
      <c r="C415" s="18">
        <v>411300</v>
      </c>
      <c r="D415" s="28" t="s">
        <v>409</v>
      </c>
      <c r="E415" s="197">
        <v>4000</v>
      </c>
      <c r="F415" s="197">
        <v>1000</v>
      </c>
      <c r="G415" s="197">
        <f t="shared" si="55"/>
        <v>5000</v>
      </c>
      <c r="H415" s="197">
        <v>4501.86</v>
      </c>
      <c r="I415" s="209">
        <f t="shared" si="53"/>
        <v>90.0372</v>
      </c>
      <c r="J415" s="321">
        <f t="shared" si="54"/>
        <v>0.03663827330294358</v>
      </c>
    </row>
    <row r="416" spans="1:10" ht="12.75">
      <c r="A416" s="138" t="s">
        <v>58</v>
      </c>
      <c r="B416" s="34"/>
      <c r="C416" s="18">
        <v>411400</v>
      </c>
      <c r="D416" s="30" t="s">
        <v>410</v>
      </c>
      <c r="E416" s="197">
        <v>2000</v>
      </c>
      <c r="F416" s="197">
        <v>0</v>
      </c>
      <c r="G416" s="197">
        <f t="shared" si="55"/>
        <v>2000</v>
      </c>
      <c r="H416" s="197">
        <v>2000</v>
      </c>
      <c r="I416" s="209">
        <f t="shared" si="53"/>
        <v>100</v>
      </c>
      <c r="J416" s="321">
        <f t="shared" si="54"/>
        <v>0.01627694921785377</v>
      </c>
    </row>
    <row r="417" spans="1:10" ht="14.25" customHeight="1">
      <c r="A417" s="138"/>
      <c r="B417" s="24">
        <v>412000</v>
      </c>
      <c r="C417" s="18"/>
      <c r="D417" s="33" t="s">
        <v>143</v>
      </c>
      <c r="E417" s="188">
        <f>SUM(E418:E426)</f>
        <v>130900</v>
      </c>
      <c r="F417" s="188">
        <f>SUM(F418:F426)</f>
        <v>0</v>
      </c>
      <c r="G417" s="188">
        <f>SUM(G418:G426)</f>
        <v>130900</v>
      </c>
      <c r="H417" s="188">
        <f>SUM(H418:H426)</f>
        <v>49706.37</v>
      </c>
      <c r="I417" s="188">
        <f t="shared" si="53"/>
        <v>37.972780748663105</v>
      </c>
      <c r="J417" s="318">
        <f t="shared" si="54"/>
        <v>0.4045340301469251</v>
      </c>
    </row>
    <row r="418" spans="1:10" ht="24">
      <c r="A418" s="138" t="s">
        <v>58</v>
      </c>
      <c r="B418" s="24"/>
      <c r="C418" s="18">
        <v>412200</v>
      </c>
      <c r="D418" s="31" t="s">
        <v>145</v>
      </c>
      <c r="E418" s="197">
        <v>40000</v>
      </c>
      <c r="F418" s="197">
        <v>0</v>
      </c>
      <c r="G418" s="197">
        <f t="shared" si="55"/>
        <v>40000</v>
      </c>
      <c r="H418" s="197">
        <v>18747.97</v>
      </c>
      <c r="I418" s="209">
        <f t="shared" si="53"/>
        <v>46.869925</v>
      </c>
      <c r="J418" s="321">
        <f t="shared" si="54"/>
        <v>0.152579877813923</v>
      </c>
    </row>
    <row r="419" spans="1:10" ht="12.75">
      <c r="A419" s="138" t="s">
        <v>58</v>
      </c>
      <c r="B419" s="24"/>
      <c r="C419" s="18">
        <v>412300</v>
      </c>
      <c r="D419" s="34" t="s">
        <v>146</v>
      </c>
      <c r="E419" s="197">
        <v>7500</v>
      </c>
      <c r="F419" s="197">
        <v>0</v>
      </c>
      <c r="G419" s="197">
        <f t="shared" si="55"/>
        <v>7500</v>
      </c>
      <c r="H419" s="197">
        <v>2331.41</v>
      </c>
      <c r="I419" s="209">
        <f t="shared" si="53"/>
        <v>31.085466666666665</v>
      </c>
      <c r="J419" s="321">
        <f t="shared" si="54"/>
        <v>0.018974121087998227</v>
      </c>
    </row>
    <row r="420" spans="1:10" ht="12.75">
      <c r="A420" s="138" t="s">
        <v>58</v>
      </c>
      <c r="B420" s="24"/>
      <c r="C420" s="18">
        <v>412400</v>
      </c>
      <c r="D420" s="31" t="s">
        <v>147</v>
      </c>
      <c r="E420" s="185">
        <v>65000</v>
      </c>
      <c r="F420" s="197">
        <v>0</v>
      </c>
      <c r="G420" s="185">
        <f t="shared" si="55"/>
        <v>65000</v>
      </c>
      <c r="H420" s="185">
        <v>19726.01</v>
      </c>
      <c r="I420" s="209">
        <f t="shared" si="53"/>
        <v>30.34770769230769</v>
      </c>
      <c r="J420" s="321">
        <f t="shared" si="54"/>
        <v>0.1605396315204378</v>
      </c>
    </row>
    <row r="421" spans="1:10" ht="24" hidden="1">
      <c r="A421" s="138" t="s">
        <v>58</v>
      </c>
      <c r="B421" s="24"/>
      <c r="C421" s="18">
        <v>412400</v>
      </c>
      <c r="D421" s="31" t="s">
        <v>499</v>
      </c>
      <c r="E421" s="185">
        <v>0</v>
      </c>
      <c r="F421" s="197">
        <v>0</v>
      </c>
      <c r="G421" s="185">
        <f t="shared" si="55"/>
        <v>0</v>
      </c>
      <c r="H421" s="185"/>
      <c r="I421" s="209">
        <f t="shared" si="53"/>
        <v>0</v>
      </c>
      <c r="J421" s="321">
        <f t="shared" si="54"/>
        <v>0</v>
      </c>
    </row>
    <row r="422" spans="1:10" ht="12.75">
      <c r="A422" s="138" t="s">
        <v>58</v>
      </c>
      <c r="B422" s="24"/>
      <c r="C422" s="18">
        <v>412500</v>
      </c>
      <c r="D422" s="34" t="s">
        <v>148</v>
      </c>
      <c r="E422" s="185">
        <v>5000</v>
      </c>
      <c r="F422" s="197">
        <v>0</v>
      </c>
      <c r="G422" s="185">
        <f t="shared" si="55"/>
        <v>5000</v>
      </c>
      <c r="H422" s="185">
        <v>3490.48</v>
      </c>
      <c r="I422" s="209">
        <f t="shared" si="53"/>
        <v>69.8096</v>
      </c>
      <c r="J422" s="321">
        <f t="shared" si="54"/>
        <v>0.028407182852967113</v>
      </c>
    </row>
    <row r="423" spans="1:10" ht="12.75">
      <c r="A423" s="138" t="s">
        <v>58</v>
      </c>
      <c r="B423" s="24"/>
      <c r="C423" s="18">
        <v>412600</v>
      </c>
      <c r="D423" s="34" t="s">
        <v>149</v>
      </c>
      <c r="E423" s="185">
        <v>500</v>
      </c>
      <c r="F423" s="197">
        <v>0</v>
      </c>
      <c r="G423" s="185">
        <f t="shared" si="55"/>
        <v>500</v>
      </c>
      <c r="H423" s="185">
        <v>400</v>
      </c>
      <c r="I423" s="209">
        <f t="shared" si="53"/>
        <v>80</v>
      </c>
      <c r="J423" s="321">
        <f t="shared" si="54"/>
        <v>0.003255389843570754</v>
      </c>
    </row>
    <row r="424" spans="1:10" ht="12.75">
      <c r="A424" s="138" t="s">
        <v>58</v>
      </c>
      <c r="B424" s="24"/>
      <c r="C424" s="79">
        <v>412700</v>
      </c>
      <c r="D424" s="79" t="s">
        <v>150</v>
      </c>
      <c r="E424" s="185">
        <v>1500</v>
      </c>
      <c r="F424" s="197">
        <v>0</v>
      </c>
      <c r="G424" s="185">
        <f t="shared" si="55"/>
        <v>1500</v>
      </c>
      <c r="H424" s="185">
        <v>269.5</v>
      </c>
      <c r="I424" s="209">
        <f t="shared" si="53"/>
        <v>17.96666666666667</v>
      </c>
      <c r="J424" s="321">
        <f t="shared" si="54"/>
        <v>0.0021933189071057955</v>
      </c>
    </row>
    <row r="425" spans="1:10" ht="12.75">
      <c r="A425" s="138" t="s">
        <v>58</v>
      </c>
      <c r="B425" s="24"/>
      <c r="C425" s="79">
        <v>412900</v>
      </c>
      <c r="D425" s="79" t="s">
        <v>152</v>
      </c>
      <c r="E425" s="185">
        <v>6500</v>
      </c>
      <c r="F425" s="197">
        <v>0</v>
      </c>
      <c r="G425" s="185">
        <f t="shared" si="55"/>
        <v>6500</v>
      </c>
      <c r="H425" s="185">
        <v>1469.02</v>
      </c>
      <c r="I425" s="209">
        <f t="shared" si="53"/>
        <v>22.60030769230769</v>
      </c>
      <c r="J425" s="321">
        <f t="shared" si="54"/>
        <v>0.011955581970005772</v>
      </c>
    </row>
    <row r="426" spans="1:10" ht="33.75" customHeight="1">
      <c r="A426" s="138" t="s">
        <v>58</v>
      </c>
      <c r="B426" s="24"/>
      <c r="C426" s="79">
        <v>412900</v>
      </c>
      <c r="D426" s="31" t="s">
        <v>443</v>
      </c>
      <c r="E426" s="197">
        <v>4900</v>
      </c>
      <c r="F426" s="197">
        <v>0</v>
      </c>
      <c r="G426" s="197">
        <f t="shared" si="55"/>
        <v>4900</v>
      </c>
      <c r="H426" s="197">
        <v>3271.98</v>
      </c>
      <c r="I426" s="209">
        <f t="shared" si="53"/>
        <v>66.77510204081632</v>
      </c>
      <c r="J426" s="321">
        <f t="shared" si="54"/>
        <v>0.02662892615091659</v>
      </c>
    </row>
    <row r="427" spans="1:10" ht="14.25" customHeight="1">
      <c r="A427" s="138"/>
      <c r="B427" s="34">
        <v>511000</v>
      </c>
      <c r="C427" s="18"/>
      <c r="D427" s="33" t="s">
        <v>161</v>
      </c>
      <c r="E427" s="188">
        <f>SUM(E428)</f>
        <v>20000</v>
      </c>
      <c r="F427" s="188">
        <f>SUM(F428)</f>
        <v>0</v>
      </c>
      <c r="G427" s="188">
        <f>SUM(G428)</f>
        <v>20000</v>
      </c>
      <c r="H427" s="188">
        <f>SUM(H428)</f>
        <v>9170.98</v>
      </c>
      <c r="I427" s="188">
        <f t="shared" si="53"/>
        <v>45.8549</v>
      </c>
      <c r="J427" s="318">
        <f t="shared" si="54"/>
        <v>0.07463778786897628</v>
      </c>
    </row>
    <row r="428" spans="1:10" ht="12" customHeight="1">
      <c r="A428" s="138" t="s">
        <v>58</v>
      </c>
      <c r="B428" s="34"/>
      <c r="C428" s="18">
        <v>511300</v>
      </c>
      <c r="D428" s="34" t="s">
        <v>2</v>
      </c>
      <c r="E428" s="185">
        <v>20000</v>
      </c>
      <c r="F428" s="185">
        <v>0</v>
      </c>
      <c r="G428" s="185">
        <f t="shared" si="55"/>
        <v>20000</v>
      </c>
      <c r="H428" s="185">
        <v>9170.98</v>
      </c>
      <c r="I428" s="209">
        <f t="shared" si="53"/>
        <v>45.8549</v>
      </c>
      <c r="J428" s="321">
        <f t="shared" si="54"/>
        <v>0.07463778786897628</v>
      </c>
    </row>
    <row r="429" spans="1:10" ht="24" customHeight="1">
      <c r="A429" s="138"/>
      <c r="B429" s="34">
        <v>516000</v>
      </c>
      <c r="C429" s="18"/>
      <c r="D429" s="60" t="s">
        <v>368</v>
      </c>
      <c r="E429" s="188">
        <f>SUM(E430)</f>
        <v>2000</v>
      </c>
      <c r="F429" s="188">
        <f>SUM(F430)</f>
        <v>0</v>
      </c>
      <c r="G429" s="188">
        <f>SUM(G430)</f>
        <v>2000</v>
      </c>
      <c r="H429" s="188">
        <f>SUM(H430)</f>
        <v>174.02</v>
      </c>
      <c r="I429" s="188">
        <f t="shared" si="53"/>
        <v>8.701</v>
      </c>
      <c r="J429" s="318">
        <f t="shared" si="54"/>
        <v>0.0014162573514454567</v>
      </c>
    </row>
    <row r="430" spans="1:10" ht="12.75">
      <c r="A430" s="138" t="s">
        <v>58</v>
      </c>
      <c r="B430" s="34"/>
      <c r="C430" s="18">
        <v>516100</v>
      </c>
      <c r="D430" s="34" t="s">
        <v>349</v>
      </c>
      <c r="E430" s="197">
        <v>2000</v>
      </c>
      <c r="F430" s="197">
        <v>0</v>
      </c>
      <c r="G430" s="197">
        <f t="shared" si="55"/>
        <v>2000</v>
      </c>
      <c r="H430" s="197">
        <v>174.02</v>
      </c>
      <c r="I430" s="209">
        <f t="shared" si="53"/>
        <v>8.701</v>
      </c>
      <c r="J430" s="321">
        <f t="shared" si="54"/>
        <v>0.0014162573514454567</v>
      </c>
    </row>
    <row r="431" spans="1:10" ht="12.75" hidden="1">
      <c r="A431" s="138" t="s">
        <v>58</v>
      </c>
      <c r="B431" s="34"/>
      <c r="C431" s="18">
        <v>516100</v>
      </c>
      <c r="D431" s="34" t="s">
        <v>500</v>
      </c>
      <c r="E431" s="197">
        <v>0</v>
      </c>
      <c r="F431" s="197"/>
      <c r="G431" s="197">
        <f t="shared" si="55"/>
        <v>0</v>
      </c>
      <c r="H431" s="197"/>
      <c r="I431" s="209">
        <f t="shared" si="53"/>
        <v>0</v>
      </c>
      <c r="J431" s="321">
        <f t="shared" si="54"/>
        <v>0</v>
      </c>
    </row>
    <row r="432" spans="1:10" ht="21.75" customHeight="1">
      <c r="A432" s="138"/>
      <c r="B432" s="24">
        <v>638000</v>
      </c>
      <c r="C432" s="18"/>
      <c r="D432" s="33" t="s">
        <v>411</v>
      </c>
      <c r="E432" s="66">
        <f>SUM(E433)</f>
        <v>7000</v>
      </c>
      <c r="F432" s="66">
        <f>SUM(F433)</f>
        <v>0</v>
      </c>
      <c r="G432" s="66">
        <f>SUM(G433)</f>
        <v>7000</v>
      </c>
      <c r="H432" s="66">
        <f>SUM(H433)</f>
        <v>3288.21</v>
      </c>
      <c r="I432" s="188">
        <f t="shared" si="53"/>
        <v>46.974428571428575</v>
      </c>
      <c r="J432" s="318">
        <f t="shared" si="54"/>
        <v>0.026761013593819473</v>
      </c>
    </row>
    <row r="433" spans="1:10" ht="37.5" customHeight="1">
      <c r="A433" s="138"/>
      <c r="B433" s="34"/>
      <c r="C433" s="18">
        <v>638100</v>
      </c>
      <c r="D433" s="31" t="s">
        <v>412</v>
      </c>
      <c r="E433" s="197">
        <v>7000</v>
      </c>
      <c r="F433" s="197">
        <v>0</v>
      </c>
      <c r="G433" s="197">
        <f t="shared" si="55"/>
        <v>7000</v>
      </c>
      <c r="H433" s="197">
        <v>3288.21</v>
      </c>
      <c r="I433" s="209">
        <f t="shared" si="53"/>
        <v>46.974428571428575</v>
      </c>
      <c r="J433" s="321">
        <f t="shared" si="54"/>
        <v>0.026761013593819473</v>
      </c>
    </row>
    <row r="434" spans="1:10" ht="25.5" customHeight="1">
      <c r="A434" s="556"/>
      <c r="B434" s="557"/>
      <c r="C434" s="549" t="s">
        <v>96</v>
      </c>
      <c r="D434" s="550"/>
      <c r="E434" s="72">
        <f>E412+E417+E427+E429+E432</f>
        <v>629900</v>
      </c>
      <c r="F434" s="72">
        <f>F412+F417+F427+F429+F432</f>
        <v>0</v>
      </c>
      <c r="G434" s="72">
        <f>G412+G417+G427+G429+G432</f>
        <v>629900</v>
      </c>
      <c r="H434" s="72">
        <f>H412+H417+H427+H429+H432</f>
        <v>288516.15</v>
      </c>
      <c r="I434" s="326">
        <f t="shared" si="53"/>
        <v>45.80348468010796</v>
      </c>
      <c r="J434" s="328">
        <f t="shared" si="54"/>
        <v>2.348081361040341</v>
      </c>
    </row>
    <row r="435" spans="1:10" ht="39.75" customHeight="1">
      <c r="A435" s="556"/>
      <c r="B435" s="557"/>
      <c r="C435" s="571" t="s">
        <v>326</v>
      </c>
      <c r="D435" s="572"/>
      <c r="E435" s="179"/>
      <c r="F435" s="179"/>
      <c r="G435" s="179"/>
      <c r="H435" s="179"/>
      <c r="I435" s="179"/>
      <c r="J435" s="319"/>
    </row>
    <row r="436" spans="1:10" ht="14.25" customHeight="1">
      <c r="A436" s="138"/>
      <c r="B436" s="24">
        <v>412000</v>
      </c>
      <c r="C436" s="102"/>
      <c r="D436" s="33" t="s">
        <v>143</v>
      </c>
      <c r="E436" s="188">
        <f>SUM(E437:E441)</f>
        <v>9000</v>
      </c>
      <c r="F436" s="188">
        <f>SUM(F437:F441)</f>
        <v>0</v>
      </c>
      <c r="G436" s="188">
        <f>SUM(G437:G441)</f>
        <v>9000</v>
      </c>
      <c r="H436" s="188">
        <f>SUM(H437:H441)</f>
        <v>3145.76</v>
      </c>
      <c r="I436" s="188">
        <f aca="true" t="shared" si="56" ref="I436:I444">IF(G436&gt;0,H436/G436*100,0)</f>
        <v>34.952888888888886</v>
      </c>
      <c r="J436" s="318">
        <f aca="true" t="shared" si="57" ref="J436:J444">H436/$H$494*100</f>
        <v>0.02560168788577784</v>
      </c>
    </row>
    <row r="437" spans="1:10" ht="24" customHeight="1">
      <c r="A437" s="138" t="s">
        <v>36</v>
      </c>
      <c r="B437" s="34"/>
      <c r="C437" s="153">
        <v>412200</v>
      </c>
      <c r="D437" s="31" t="s">
        <v>145</v>
      </c>
      <c r="E437" s="185">
        <v>3400</v>
      </c>
      <c r="F437" s="185">
        <v>0</v>
      </c>
      <c r="G437" s="185">
        <f aca="true" t="shared" si="58" ref="G437:G443">E437+F437</f>
        <v>3400</v>
      </c>
      <c r="H437" s="185">
        <v>1337.13</v>
      </c>
      <c r="I437" s="209">
        <f t="shared" si="56"/>
        <v>39.32735294117647</v>
      </c>
      <c r="J437" s="321">
        <f t="shared" si="57"/>
        <v>0.010882198553834406</v>
      </c>
    </row>
    <row r="438" spans="1:10" ht="12.75">
      <c r="A438" s="138" t="s">
        <v>36</v>
      </c>
      <c r="B438" s="34"/>
      <c r="C438" s="153">
        <v>412300</v>
      </c>
      <c r="D438" s="34" t="s">
        <v>146</v>
      </c>
      <c r="E438" s="197">
        <v>500</v>
      </c>
      <c r="F438" s="197">
        <v>0</v>
      </c>
      <c r="G438" s="197">
        <f t="shared" si="58"/>
        <v>500</v>
      </c>
      <c r="H438" s="197">
        <v>429.93</v>
      </c>
      <c r="I438" s="209">
        <f t="shared" si="56"/>
        <v>85.986</v>
      </c>
      <c r="J438" s="321">
        <f t="shared" si="57"/>
        <v>0.0034989743886159356</v>
      </c>
    </row>
    <row r="439" spans="1:10" ht="12.75">
      <c r="A439" s="138" t="s">
        <v>36</v>
      </c>
      <c r="B439" s="34"/>
      <c r="C439" s="153">
        <v>412500</v>
      </c>
      <c r="D439" s="34" t="s">
        <v>148</v>
      </c>
      <c r="E439" s="197">
        <v>2000</v>
      </c>
      <c r="F439" s="197">
        <v>0</v>
      </c>
      <c r="G439" s="197">
        <f t="shared" si="58"/>
        <v>2000</v>
      </c>
      <c r="H439" s="197">
        <v>312</v>
      </c>
      <c r="I439" s="209">
        <f t="shared" si="56"/>
        <v>15.6</v>
      </c>
      <c r="J439" s="321">
        <f t="shared" si="57"/>
        <v>0.002539204077985188</v>
      </c>
    </row>
    <row r="440" spans="1:10" ht="12.75">
      <c r="A440" s="138" t="s">
        <v>36</v>
      </c>
      <c r="B440" s="34"/>
      <c r="C440" s="153">
        <v>412700</v>
      </c>
      <c r="D440" s="79" t="s">
        <v>150</v>
      </c>
      <c r="E440" s="185">
        <v>2000</v>
      </c>
      <c r="F440" s="185">
        <v>0</v>
      </c>
      <c r="G440" s="185">
        <f t="shared" si="58"/>
        <v>2000</v>
      </c>
      <c r="H440" s="185">
        <v>960</v>
      </c>
      <c r="I440" s="209">
        <f t="shared" si="56"/>
        <v>48</v>
      </c>
      <c r="J440" s="321">
        <f t="shared" si="57"/>
        <v>0.007812935624569809</v>
      </c>
    </row>
    <row r="441" spans="1:10" ht="12.75">
      <c r="A441" s="138" t="s">
        <v>36</v>
      </c>
      <c r="B441" s="34"/>
      <c r="C441" s="153">
        <v>412900</v>
      </c>
      <c r="D441" s="79" t="s">
        <v>152</v>
      </c>
      <c r="E441" s="185">
        <v>1100</v>
      </c>
      <c r="F441" s="185">
        <v>0</v>
      </c>
      <c r="G441" s="185">
        <f t="shared" si="58"/>
        <v>1100</v>
      </c>
      <c r="H441" s="185">
        <v>106.7</v>
      </c>
      <c r="I441" s="209">
        <f t="shared" si="56"/>
        <v>9.700000000000001</v>
      </c>
      <c r="J441" s="321">
        <f t="shared" si="57"/>
        <v>0.0008683752407724986</v>
      </c>
    </row>
    <row r="442" spans="1:10" ht="12.75">
      <c r="A442" s="138"/>
      <c r="B442" s="24">
        <v>511000</v>
      </c>
      <c r="C442" s="103"/>
      <c r="D442" s="33" t="s">
        <v>161</v>
      </c>
      <c r="E442" s="188">
        <f>SUM(E443)</f>
        <v>800</v>
      </c>
      <c r="F442" s="188">
        <f>SUM(F443)</f>
        <v>0</v>
      </c>
      <c r="G442" s="188">
        <f>SUM(G443)</f>
        <v>800</v>
      </c>
      <c r="H442" s="188">
        <f>SUM(H443)</f>
        <v>150</v>
      </c>
      <c r="I442" s="188">
        <f t="shared" si="56"/>
        <v>18.75</v>
      </c>
      <c r="J442" s="318">
        <f t="shared" si="57"/>
        <v>0.0012207711913390328</v>
      </c>
    </row>
    <row r="443" spans="1:10" ht="12.75">
      <c r="A443" s="138" t="s">
        <v>36</v>
      </c>
      <c r="B443" s="34"/>
      <c r="C443" s="153">
        <v>511300</v>
      </c>
      <c r="D443" s="34" t="s">
        <v>2</v>
      </c>
      <c r="E443" s="187">
        <v>800</v>
      </c>
      <c r="F443" s="502">
        <v>0</v>
      </c>
      <c r="G443" s="71">
        <f t="shared" si="58"/>
        <v>800</v>
      </c>
      <c r="H443" s="502">
        <v>150</v>
      </c>
      <c r="I443" s="209">
        <f t="shared" si="56"/>
        <v>18.75</v>
      </c>
      <c r="J443" s="321">
        <f t="shared" si="57"/>
        <v>0.0012207711913390328</v>
      </c>
    </row>
    <row r="444" spans="1:10" ht="30" customHeight="1">
      <c r="A444" s="556"/>
      <c r="B444" s="557"/>
      <c r="C444" s="549" t="s">
        <v>327</v>
      </c>
      <c r="D444" s="549"/>
      <c r="E444" s="67">
        <f>E436+E442</f>
        <v>9800</v>
      </c>
      <c r="F444" s="67">
        <f>F436+F442</f>
        <v>0</v>
      </c>
      <c r="G444" s="67">
        <f>G436+G442</f>
        <v>9800</v>
      </c>
      <c r="H444" s="67">
        <f>H436+H442</f>
        <v>3295.76</v>
      </c>
      <c r="I444" s="326">
        <f t="shared" si="56"/>
        <v>33.630204081632655</v>
      </c>
      <c r="J444" s="328">
        <f t="shared" si="57"/>
        <v>0.026822459077116872</v>
      </c>
    </row>
    <row r="445" spans="1:10" ht="19.5" customHeight="1">
      <c r="A445" s="554"/>
      <c r="B445" s="555"/>
      <c r="C445" s="545" t="s">
        <v>296</v>
      </c>
      <c r="D445" s="565"/>
      <c r="E445" s="173"/>
      <c r="F445" s="173"/>
      <c r="G445" s="173"/>
      <c r="H445" s="173"/>
      <c r="I445" s="173"/>
      <c r="J445" s="372"/>
    </row>
    <row r="446" spans="1:10" ht="16.5" customHeight="1">
      <c r="A446" s="554"/>
      <c r="B446" s="555"/>
      <c r="C446" s="566"/>
      <c r="D446" s="565"/>
      <c r="E446" s="175"/>
      <c r="F446" s="175"/>
      <c r="G446" s="175"/>
      <c r="H446" s="175"/>
      <c r="I446" s="175"/>
      <c r="J446" s="374"/>
    </row>
    <row r="447" spans="1:10" ht="14.25" customHeight="1">
      <c r="A447" s="29"/>
      <c r="B447" s="24">
        <v>412000</v>
      </c>
      <c r="C447" s="18"/>
      <c r="D447" s="33" t="s">
        <v>143</v>
      </c>
      <c r="E447" s="360">
        <f>SUM(E448:E448)</f>
        <v>500</v>
      </c>
      <c r="F447" s="360">
        <f>SUM(F448:F448)</f>
        <v>0</v>
      </c>
      <c r="G447" s="360">
        <f>SUM(G448:G448)</f>
        <v>500</v>
      </c>
      <c r="H447" s="360">
        <f>SUM(H448:H448)</f>
        <v>5.7</v>
      </c>
      <c r="I447" s="360">
        <f aca="true" t="shared" si="59" ref="I447:I489">IF(G447&gt;0,H447/G447*100,0)</f>
        <v>1.1400000000000001</v>
      </c>
      <c r="J447" s="361">
        <f aca="true" t="shared" si="60" ref="J447:J489">H447/$H$494*100</f>
        <v>4.638930527088325E-05</v>
      </c>
    </row>
    <row r="448" spans="1:10" ht="38.25" customHeight="1">
      <c r="A448" s="138" t="s">
        <v>27</v>
      </c>
      <c r="B448" s="24"/>
      <c r="C448" s="31">
        <v>412900</v>
      </c>
      <c r="D448" s="35" t="s">
        <v>478</v>
      </c>
      <c r="E448" s="197">
        <v>500</v>
      </c>
      <c r="F448" s="197">
        <v>0</v>
      </c>
      <c r="G448" s="197">
        <f aca="true" t="shared" si="61" ref="G448:G488">E448+F448</f>
        <v>500</v>
      </c>
      <c r="H448" s="197">
        <v>5.7</v>
      </c>
      <c r="I448" s="209">
        <f t="shared" si="59"/>
        <v>1.1400000000000001</v>
      </c>
      <c r="J448" s="321">
        <f t="shared" si="60"/>
        <v>4.638930527088325E-05</v>
      </c>
    </row>
    <row r="449" spans="1:10" ht="17.25" customHeight="1">
      <c r="A449" s="138"/>
      <c r="B449" s="24">
        <v>413000</v>
      </c>
      <c r="C449" s="31"/>
      <c r="D449" s="60" t="s">
        <v>153</v>
      </c>
      <c r="E449" s="188">
        <f>E450+E458</f>
        <v>286500</v>
      </c>
      <c r="F449" s="188">
        <f>F450+F458</f>
        <v>-10400</v>
      </c>
      <c r="G449" s="188">
        <f>G450+G458</f>
        <v>276100</v>
      </c>
      <c r="H449" s="188">
        <f>H450+H458</f>
        <v>131505.51</v>
      </c>
      <c r="I449" s="188">
        <f t="shared" si="59"/>
        <v>47.62966678739588</v>
      </c>
      <c r="J449" s="318">
        <f t="shared" si="60"/>
        <v>1.0702542540689806</v>
      </c>
    </row>
    <row r="450" spans="1:10" ht="21.75" customHeight="1">
      <c r="A450" s="138"/>
      <c r="B450" s="24"/>
      <c r="C450" s="60"/>
      <c r="D450" s="60" t="s">
        <v>154</v>
      </c>
      <c r="E450" s="253">
        <f>SUM(E451:E457)</f>
        <v>250500</v>
      </c>
      <c r="F450" s="253">
        <f>SUM(F451:F457)</f>
        <v>0</v>
      </c>
      <c r="G450" s="253">
        <f>SUM(G451:G457)</f>
        <v>250500</v>
      </c>
      <c r="H450" s="253">
        <f>SUM(H451:H457)</f>
        <v>121005.51000000001</v>
      </c>
      <c r="I450" s="323">
        <f t="shared" si="59"/>
        <v>48.30559281437126</v>
      </c>
      <c r="J450" s="322">
        <f t="shared" si="60"/>
        <v>0.9848002706752484</v>
      </c>
    </row>
    <row r="451" spans="1:10" ht="12.75" customHeight="1">
      <c r="A451" s="138" t="s">
        <v>60</v>
      </c>
      <c r="B451" s="34"/>
      <c r="C451" s="38">
        <v>413300</v>
      </c>
      <c r="D451" s="31" t="s">
        <v>132</v>
      </c>
      <c r="E451" s="197">
        <v>15500</v>
      </c>
      <c r="F451" s="197">
        <v>0</v>
      </c>
      <c r="G451" s="197">
        <f t="shared" si="61"/>
        <v>15500</v>
      </c>
      <c r="H451" s="197">
        <v>8734.59</v>
      </c>
      <c r="I451" s="209">
        <f t="shared" si="59"/>
        <v>56.3521935483871</v>
      </c>
      <c r="J451" s="321">
        <f t="shared" si="60"/>
        <v>0.07108623893438669</v>
      </c>
    </row>
    <row r="452" spans="1:10" ht="12.75" customHeight="1">
      <c r="A452" s="138" t="s">
        <v>60</v>
      </c>
      <c r="B452" s="34"/>
      <c r="C452" s="38">
        <v>413300</v>
      </c>
      <c r="D452" s="31" t="s">
        <v>133</v>
      </c>
      <c r="E452" s="185">
        <v>0</v>
      </c>
      <c r="F452" s="185">
        <v>11628.92</v>
      </c>
      <c r="G452" s="185">
        <f t="shared" si="61"/>
        <v>11628.92</v>
      </c>
      <c r="H452" s="185">
        <v>11628.92</v>
      </c>
      <c r="I452" s="209">
        <f t="shared" si="59"/>
        <v>100</v>
      </c>
      <c r="J452" s="321">
        <f t="shared" si="60"/>
        <v>0.09464167014924203</v>
      </c>
    </row>
    <row r="453" spans="1:10" ht="12.75" customHeight="1">
      <c r="A453" s="138" t="s">
        <v>60</v>
      </c>
      <c r="B453" s="34"/>
      <c r="C453" s="38">
        <v>413300</v>
      </c>
      <c r="D453" s="31" t="s">
        <v>135</v>
      </c>
      <c r="E453" s="185">
        <v>0</v>
      </c>
      <c r="F453" s="185">
        <v>4552.54</v>
      </c>
      <c r="G453" s="185">
        <f t="shared" si="61"/>
        <v>4552.54</v>
      </c>
      <c r="H453" s="185">
        <v>4552.54</v>
      </c>
      <c r="I453" s="209">
        <f t="shared" si="59"/>
        <v>100</v>
      </c>
      <c r="J453" s="321">
        <f t="shared" si="60"/>
        <v>0.037050731196124</v>
      </c>
    </row>
    <row r="454" spans="1:10" ht="12.75" customHeight="1">
      <c r="A454" s="138" t="s">
        <v>60</v>
      </c>
      <c r="B454" s="34"/>
      <c r="C454" s="38">
        <v>413300</v>
      </c>
      <c r="D454" s="31" t="s">
        <v>134</v>
      </c>
      <c r="E454" s="185">
        <v>0</v>
      </c>
      <c r="F454" s="185">
        <v>875.79</v>
      </c>
      <c r="G454" s="185">
        <f t="shared" si="61"/>
        <v>875.79</v>
      </c>
      <c r="H454" s="185">
        <v>875.79</v>
      </c>
      <c r="I454" s="209">
        <f t="shared" si="59"/>
        <v>100</v>
      </c>
      <c r="J454" s="321">
        <f t="shared" si="60"/>
        <v>0.007127594677752076</v>
      </c>
    </row>
    <row r="455" spans="1:10" ht="12.75" customHeight="1">
      <c r="A455" s="138" t="s">
        <v>60</v>
      </c>
      <c r="B455" s="34"/>
      <c r="C455" s="38">
        <v>413300</v>
      </c>
      <c r="D455" s="31" t="s">
        <v>281</v>
      </c>
      <c r="E455" s="185">
        <v>0</v>
      </c>
      <c r="F455" s="185">
        <v>9275.64</v>
      </c>
      <c r="G455" s="185">
        <f t="shared" si="61"/>
        <v>9275.64</v>
      </c>
      <c r="H455" s="185">
        <v>9275.64</v>
      </c>
      <c r="I455" s="209">
        <f t="shared" si="59"/>
        <v>100</v>
      </c>
      <c r="J455" s="321">
        <f t="shared" si="60"/>
        <v>0.07548956062154656</v>
      </c>
    </row>
    <row r="456" spans="1:10" ht="12.75" customHeight="1">
      <c r="A456" s="138" t="s">
        <v>60</v>
      </c>
      <c r="B456" s="34"/>
      <c r="C456" s="38">
        <v>413300</v>
      </c>
      <c r="D456" s="31" t="s">
        <v>381</v>
      </c>
      <c r="E456" s="185">
        <v>0</v>
      </c>
      <c r="F456" s="185">
        <v>937.97</v>
      </c>
      <c r="G456" s="185">
        <f t="shared" si="61"/>
        <v>937.97</v>
      </c>
      <c r="H456" s="185">
        <v>937.97</v>
      </c>
      <c r="I456" s="209">
        <f t="shared" si="59"/>
        <v>100</v>
      </c>
      <c r="J456" s="321">
        <f t="shared" si="60"/>
        <v>0.007633645028935151</v>
      </c>
    </row>
    <row r="457" spans="1:10" ht="12.75" customHeight="1">
      <c r="A457" s="138" t="s">
        <v>60</v>
      </c>
      <c r="B457" s="34"/>
      <c r="C457" s="38">
        <v>413300</v>
      </c>
      <c r="D457" s="31" t="s">
        <v>480</v>
      </c>
      <c r="E457" s="185">
        <v>235000</v>
      </c>
      <c r="F457" s="185">
        <v>-27270.86</v>
      </c>
      <c r="G457" s="185">
        <f t="shared" si="61"/>
        <v>207729.14</v>
      </c>
      <c r="H457" s="185">
        <v>85000.06</v>
      </c>
      <c r="I457" s="209">
        <f t="shared" si="59"/>
        <v>40.918698262554784</v>
      </c>
      <c r="J457" s="321">
        <f t="shared" si="60"/>
        <v>0.6917708300672618</v>
      </c>
    </row>
    <row r="458" spans="1:10" ht="15" customHeight="1">
      <c r="A458" s="138"/>
      <c r="B458" s="34"/>
      <c r="C458" s="18"/>
      <c r="D458" s="60" t="s">
        <v>372</v>
      </c>
      <c r="E458" s="253">
        <f>SUM(E459:E460)</f>
        <v>36000</v>
      </c>
      <c r="F458" s="253">
        <f>SUM(F459:F460)</f>
        <v>-10400</v>
      </c>
      <c r="G458" s="253">
        <f>SUM(G459:G460)</f>
        <v>25600</v>
      </c>
      <c r="H458" s="253">
        <f>SUM(H459:H460)</f>
        <v>10500</v>
      </c>
      <c r="I458" s="324">
        <f t="shared" si="59"/>
        <v>41.015625</v>
      </c>
      <c r="J458" s="322">
        <f t="shared" si="60"/>
        <v>0.0854539833937323</v>
      </c>
    </row>
    <row r="459" spans="1:10" ht="23.25" customHeight="1">
      <c r="A459" s="138" t="s">
        <v>60</v>
      </c>
      <c r="B459" s="34"/>
      <c r="C459" s="18">
        <v>413700</v>
      </c>
      <c r="D459" s="31" t="s">
        <v>477</v>
      </c>
      <c r="E459" s="185">
        <v>15000</v>
      </c>
      <c r="F459" s="185">
        <v>0</v>
      </c>
      <c r="G459" s="185">
        <f t="shared" si="61"/>
        <v>15000</v>
      </c>
      <c r="H459" s="185">
        <v>0</v>
      </c>
      <c r="I459" s="197">
        <f t="shared" si="59"/>
        <v>0</v>
      </c>
      <c r="J459" s="321">
        <f t="shared" si="60"/>
        <v>0</v>
      </c>
    </row>
    <row r="460" spans="1:10" ht="27.75" customHeight="1">
      <c r="A460" s="138" t="s">
        <v>60</v>
      </c>
      <c r="B460" s="34"/>
      <c r="C460" s="18">
        <v>413700</v>
      </c>
      <c r="D460" s="31" t="s">
        <v>476</v>
      </c>
      <c r="E460" s="185">
        <v>21000</v>
      </c>
      <c r="F460" s="185">
        <v>-10400</v>
      </c>
      <c r="G460" s="185">
        <f t="shared" si="61"/>
        <v>10600</v>
      </c>
      <c r="H460" s="185">
        <v>10500</v>
      </c>
      <c r="I460" s="197">
        <f t="shared" si="59"/>
        <v>99.05660377358491</v>
      </c>
      <c r="J460" s="321">
        <f t="shared" si="60"/>
        <v>0.0854539833937323</v>
      </c>
    </row>
    <row r="461" spans="1:10" ht="24.75" customHeight="1">
      <c r="A461" s="138"/>
      <c r="B461" s="24">
        <v>418000</v>
      </c>
      <c r="C461" s="18"/>
      <c r="D461" s="33" t="s">
        <v>518</v>
      </c>
      <c r="E461" s="360">
        <f aca="true" t="shared" si="62" ref="E461:H462">SUM(E462)</f>
        <v>4000</v>
      </c>
      <c r="F461" s="360">
        <f t="shared" si="62"/>
        <v>0</v>
      </c>
      <c r="G461" s="360">
        <f t="shared" si="62"/>
        <v>4000</v>
      </c>
      <c r="H461" s="360">
        <f t="shared" si="62"/>
        <v>1942</v>
      </c>
      <c r="I461" s="360">
        <f t="shared" si="59"/>
        <v>48.55</v>
      </c>
      <c r="J461" s="361">
        <f t="shared" si="60"/>
        <v>0.015804917690536012</v>
      </c>
    </row>
    <row r="462" spans="1:10" ht="24.75" customHeight="1">
      <c r="A462" s="138"/>
      <c r="B462" s="24"/>
      <c r="C462" s="18"/>
      <c r="D462" s="33" t="s">
        <v>521</v>
      </c>
      <c r="E462" s="253">
        <f t="shared" si="62"/>
        <v>4000</v>
      </c>
      <c r="F462" s="253">
        <f t="shared" si="62"/>
        <v>0</v>
      </c>
      <c r="G462" s="253">
        <f t="shared" si="62"/>
        <v>4000</v>
      </c>
      <c r="H462" s="253">
        <f t="shared" si="62"/>
        <v>1942</v>
      </c>
      <c r="I462" s="324">
        <f t="shared" si="59"/>
        <v>48.55</v>
      </c>
      <c r="J462" s="322">
        <f t="shared" si="60"/>
        <v>0.015804917690536012</v>
      </c>
    </row>
    <row r="463" spans="1:10" ht="15.75" customHeight="1">
      <c r="A463" s="138" t="s">
        <v>60</v>
      </c>
      <c r="B463" s="34"/>
      <c r="C463" s="18">
        <v>418100</v>
      </c>
      <c r="D463" s="31" t="s">
        <v>247</v>
      </c>
      <c r="E463" s="185">
        <v>4000</v>
      </c>
      <c r="F463" s="185">
        <v>0</v>
      </c>
      <c r="G463" s="185">
        <f t="shared" si="61"/>
        <v>4000</v>
      </c>
      <c r="H463" s="185">
        <v>1942</v>
      </c>
      <c r="I463" s="197">
        <f t="shared" si="59"/>
        <v>48.55</v>
      </c>
      <c r="J463" s="321">
        <f t="shared" si="60"/>
        <v>0.015804917690536012</v>
      </c>
    </row>
    <row r="464" spans="1:10" ht="15.75" customHeight="1">
      <c r="A464" s="138"/>
      <c r="B464" s="24">
        <v>487000</v>
      </c>
      <c r="C464" s="18"/>
      <c r="D464" s="33" t="s">
        <v>433</v>
      </c>
      <c r="E464" s="188">
        <f>E465+E469</f>
        <v>12700</v>
      </c>
      <c r="F464" s="188">
        <f>F465+F469</f>
        <v>0</v>
      </c>
      <c r="G464" s="188">
        <f>G465+G469</f>
        <v>12700</v>
      </c>
      <c r="H464" s="188">
        <f>H465+H469</f>
        <v>6540.59</v>
      </c>
      <c r="I464" s="188">
        <f t="shared" si="59"/>
        <v>51.50070866141733</v>
      </c>
      <c r="J464" s="318">
        <f t="shared" si="60"/>
        <v>0.053230425642401095</v>
      </c>
    </row>
    <row r="465" spans="1:10" ht="37.5" customHeight="1">
      <c r="A465" s="138"/>
      <c r="B465" s="24"/>
      <c r="C465" s="18"/>
      <c r="D465" s="47" t="s">
        <v>479</v>
      </c>
      <c r="E465" s="323">
        <f>SUM(E466:E468)</f>
        <v>9500</v>
      </c>
      <c r="F465" s="323">
        <f>SUM(F466:F468)</f>
        <v>0</v>
      </c>
      <c r="G465" s="323">
        <f>SUM(G466:G468)</f>
        <v>9500</v>
      </c>
      <c r="H465" s="323">
        <f>SUM(H466:H468)</f>
        <v>5037.05</v>
      </c>
      <c r="I465" s="323">
        <f t="shared" si="59"/>
        <v>53.02157894736842</v>
      </c>
      <c r="J465" s="322">
        <f t="shared" si="60"/>
        <v>0.04099390352889517</v>
      </c>
    </row>
    <row r="466" spans="1:10" ht="12.75">
      <c r="A466" s="138" t="s">
        <v>40</v>
      </c>
      <c r="B466" s="34"/>
      <c r="C466" s="18">
        <v>487200</v>
      </c>
      <c r="D466" s="31" t="s">
        <v>454</v>
      </c>
      <c r="E466" s="197">
        <v>7000</v>
      </c>
      <c r="F466" s="197">
        <v>0</v>
      </c>
      <c r="G466" s="197">
        <f t="shared" si="61"/>
        <v>7000</v>
      </c>
      <c r="H466" s="197">
        <v>3105.07</v>
      </c>
      <c r="I466" s="320">
        <f t="shared" si="59"/>
        <v>44.35814285714286</v>
      </c>
      <c r="J466" s="321">
        <f t="shared" si="60"/>
        <v>0.025270533353940604</v>
      </c>
    </row>
    <row r="467" spans="1:10" ht="12.75">
      <c r="A467" s="138" t="s">
        <v>40</v>
      </c>
      <c r="B467" s="34"/>
      <c r="C467" s="18">
        <v>487300</v>
      </c>
      <c r="D467" s="31" t="s">
        <v>449</v>
      </c>
      <c r="E467" s="197">
        <v>500</v>
      </c>
      <c r="F467" s="197">
        <v>0</v>
      </c>
      <c r="G467" s="197">
        <f t="shared" si="61"/>
        <v>500</v>
      </c>
      <c r="H467" s="197">
        <v>478.74</v>
      </c>
      <c r="I467" s="320">
        <f t="shared" si="59"/>
        <v>95.748</v>
      </c>
      <c r="J467" s="321">
        <f t="shared" si="60"/>
        <v>0.0038962133342776567</v>
      </c>
    </row>
    <row r="468" spans="1:10" ht="14.25" customHeight="1">
      <c r="A468" s="138" t="s">
        <v>40</v>
      </c>
      <c r="B468" s="34"/>
      <c r="C468" s="18">
        <v>487400</v>
      </c>
      <c r="D468" s="31" t="s">
        <v>417</v>
      </c>
      <c r="E468" s="197">
        <v>2000</v>
      </c>
      <c r="F468" s="197">
        <v>0</v>
      </c>
      <c r="G468" s="197">
        <f t="shared" si="61"/>
        <v>2000</v>
      </c>
      <c r="H468" s="197">
        <v>1453.24</v>
      </c>
      <c r="I468" s="320">
        <f t="shared" si="59"/>
        <v>72.662</v>
      </c>
      <c r="J468" s="321">
        <f t="shared" si="60"/>
        <v>0.011827156840676907</v>
      </c>
    </row>
    <row r="469" spans="1:10" ht="12.75">
      <c r="A469" s="138"/>
      <c r="B469" s="34"/>
      <c r="C469" s="18"/>
      <c r="D469" s="33" t="s">
        <v>432</v>
      </c>
      <c r="E469" s="323">
        <f>SUM(E470)</f>
        <v>3200</v>
      </c>
      <c r="F469" s="323">
        <f>SUM(F470)</f>
        <v>0</v>
      </c>
      <c r="G469" s="323">
        <f>SUM(G470)</f>
        <v>3200</v>
      </c>
      <c r="H469" s="323">
        <f>SUM(H470)</f>
        <v>1503.54</v>
      </c>
      <c r="I469" s="323">
        <f t="shared" si="59"/>
        <v>46.985625</v>
      </c>
      <c r="J469" s="322">
        <f t="shared" si="60"/>
        <v>0.012236522113505928</v>
      </c>
    </row>
    <row r="470" spans="1:10" ht="26.25" customHeight="1">
      <c r="A470" s="138" t="s">
        <v>40</v>
      </c>
      <c r="B470" s="34"/>
      <c r="C470" s="18">
        <v>487900</v>
      </c>
      <c r="D470" s="31" t="s">
        <v>516</v>
      </c>
      <c r="E470" s="197">
        <v>3200</v>
      </c>
      <c r="F470" s="197">
        <v>0</v>
      </c>
      <c r="G470" s="197">
        <f t="shared" si="61"/>
        <v>3200</v>
      </c>
      <c r="H470" s="197">
        <v>1503.54</v>
      </c>
      <c r="I470" s="209">
        <f t="shared" si="59"/>
        <v>46.985625</v>
      </c>
      <c r="J470" s="321">
        <f t="shared" si="60"/>
        <v>0.012236522113505928</v>
      </c>
    </row>
    <row r="471" spans="1:10" ht="13.5" customHeight="1">
      <c r="A471" s="138"/>
      <c r="B471" s="65">
        <v>621000</v>
      </c>
      <c r="C471" s="18"/>
      <c r="D471" s="33" t="s">
        <v>165</v>
      </c>
      <c r="E471" s="66">
        <f>E472+E480</f>
        <v>6793227.9799999995</v>
      </c>
      <c r="F471" s="66">
        <f>F472+F480</f>
        <v>0</v>
      </c>
      <c r="G471" s="66">
        <f>G472+G480</f>
        <v>6793227.9799999995</v>
      </c>
      <c r="H471" s="66">
        <f>H472+H480</f>
        <v>6129363.72</v>
      </c>
      <c r="I471" s="188">
        <f t="shared" si="59"/>
        <v>90.22755806290488</v>
      </c>
      <c r="J471" s="318">
        <f t="shared" si="60"/>
        <v>49.883671004097636</v>
      </c>
    </row>
    <row r="472" spans="1:10" ht="24.75" customHeight="1">
      <c r="A472" s="138"/>
      <c r="B472" s="65"/>
      <c r="C472" s="18"/>
      <c r="D472" s="33" t="s">
        <v>173</v>
      </c>
      <c r="E472" s="323">
        <f>SUM(E473:E479)</f>
        <v>6768227.9799999995</v>
      </c>
      <c r="F472" s="323">
        <f>SUM(F473:F479)</f>
        <v>0</v>
      </c>
      <c r="G472" s="323">
        <f>SUM(G473:G479)</f>
        <v>6768227.9799999995</v>
      </c>
      <c r="H472" s="323">
        <f>SUM(H473:H479)</f>
        <v>6129363.72</v>
      </c>
      <c r="I472" s="323">
        <f t="shared" si="59"/>
        <v>90.5608342111431</v>
      </c>
      <c r="J472" s="322">
        <f t="shared" si="60"/>
        <v>49.883671004097636</v>
      </c>
    </row>
    <row r="473" spans="1:10" ht="14.25" customHeight="1">
      <c r="A473" s="138"/>
      <c r="B473" s="65"/>
      <c r="C473" s="18">
        <v>621300</v>
      </c>
      <c r="D473" s="31" t="s">
        <v>450</v>
      </c>
      <c r="E473" s="209">
        <v>565000</v>
      </c>
      <c r="F473" s="209">
        <v>0</v>
      </c>
      <c r="G473" s="209">
        <f t="shared" si="61"/>
        <v>565000</v>
      </c>
      <c r="H473" s="209">
        <v>280713.86</v>
      </c>
      <c r="I473" s="209">
        <f t="shared" si="59"/>
        <v>49.68386902654867</v>
      </c>
      <c r="J473" s="321">
        <f t="shared" si="60"/>
        <v>2.2845826219838563</v>
      </c>
    </row>
    <row r="474" spans="1:10" ht="14.25" customHeight="1">
      <c r="A474" s="138"/>
      <c r="B474" s="65"/>
      <c r="C474" s="18">
        <v>621300</v>
      </c>
      <c r="D474" s="31" t="s">
        <v>451</v>
      </c>
      <c r="E474" s="272">
        <v>2041235.09</v>
      </c>
      <c r="F474" s="272">
        <v>0</v>
      </c>
      <c r="G474" s="272">
        <f t="shared" si="61"/>
        <v>2041235.09</v>
      </c>
      <c r="H474" s="272">
        <v>2041235.09</v>
      </c>
      <c r="I474" s="209">
        <f t="shared" si="59"/>
        <v>100</v>
      </c>
      <c r="J474" s="321">
        <f t="shared" si="60"/>
        <v>16.612539950815584</v>
      </c>
    </row>
    <row r="475" spans="1:10" ht="12.75">
      <c r="A475" s="138"/>
      <c r="B475" s="34"/>
      <c r="C475" s="39">
        <v>621300</v>
      </c>
      <c r="D475" s="35" t="s">
        <v>136</v>
      </c>
      <c r="E475" s="185">
        <v>1117978.76</v>
      </c>
      <c r="F475" s="185">
        <v>0</v>
      </c>
      <c r="G475" s="185">
        <f t="shared" si="61"/>
        <v>1117978.76</v>
      </c>
      <c r="H475" s="185">
        <v>1117978.76</v>
      </c>
      <c r="I475" s="209">
        <f t="shared" si="59"/>
        <v>100</v>
      </c>
      <c r="J475" s="321">
        <f t="shared" si="60"/>
        <v>9.098641751579564</v>
      </c>
    </row>
    <row r="476" spans="1:10" ht="12.75">
      <c r="A476" s="138"/>
      <c r="B476" s="34"/>
      <c r="C476" s="39">
        <v>621300</v>
      </c>
      <c r="D476" s="35" t="s">
        <v>137</v>
      </c>
      <c r="E476" s="185">
        <v>191209.11</v>
      </c>
      <c r="F476" s="185">
        <v>0</v>
      </c>
      <c r="G476" s="185">
        <f t="shared" si="61"/>
        <v>191209.11</v>
      </c>
      <c r="H476" s="185">
        <v>191209.11</v>
      </c>
      <c r="I476" s="209">
        <f t="shared" si="59"/>
        <v>100</v>
      </c>
      <c r="J476" s="321">
        <f t="shared" si="60"/>
        <v>1.5561504867305076</v>
      </c>
    </row>
    <row r="477" spans="1:10" ht="12.75">
      <c r="A477" s="138"/>
      <c r="B477" s="77"/>
      <c r="C477" s="39">
        <v>621300</v>
      </c>
      <c r="D477" s="35" t="s">
        <v>282</v>
      </c>
      <c r="E477" s="185">
        <v>1907339.98</v>
      </c>
      <c r="F477" s="185">
        <v>0</v>
      </c>
      <c r="G477" s="185">
        <f t="shared" si="61"/>
        <v>1907339.98</v>
      </c>
      <c r="H477" s="185">
        <v>1907339.98</v>
      </c>
      <c r="I477" s="209">
        <f t="shared" si="59"/>
        <v>100</v>
      </c>
      <c r="J477" s="321">
        <f t="shared" si="60"/>
        <v>15.522837997821112</v>
      </c>
    </row>
    <row r="478" spans="1:10" ht="15" customHeight="1">
      <c r="A478" s="138"/>
      <c r="B478" s="77"/>
      <c r="C478" s="39">
        <v>621300</v>
      </c>
      <c r="D478" s="35" t="s">
        <v>382</v>
      </c>
      <c r="E478" s="185">
        <v>275465.04</v>
      </c>
      <c r="F478" s="185">
        <v>0</v>
      </c>
      <c r="G478" s="185">
        <f t="shared" si="61"/>
        <v>275465.04</v>
      </c>
      <c r="H478" s="185">
        <v>275465.04</v>
      </c>
      <c r="I478" s="209">
        <f t="shared" si="59"/>
        <v>100</v>
      </c>
      <c r="J478" s="321">
        <f t="shared" si="60"/>
        <v>2.2418652336870286</v>
      </c>
    </row>
    <row r="479" spans="1:10" ht="15" customHeight="1">
      <c r="A479" s="138"/>
      <c r="B479" s="77"/>
      <c r="C479" s="39">
        <v>621300</v>
      </c>
      <c r="D479" s="35" t="s">
        <v>481</v>
      </c>
      <c r="E479" s="185">
        <v>670000</v>
      </c>
      <c r="F479" s="185">
        <v>0</v>
      </c>
      <c r="G479" s="185">
        <f t="shared" si="61"/>
        <v>670000</v>
      </c>
      <c r="H479" s="185">
        <v>315421.88</v>
      </c>
      <c r="I479" s="209">
        <f t="shared" si="59"/>
        <v>47.07789253731343</v>
      </c>
      <c r="J479" s="321">
        <f t="shared" si="60"/>
        <v>2.567052961479983</v>
      </c>
    </row>
    <row r="480" spans="1:10" ht="12.75">
      <c r="A480" s="138"/>
      <c r="B480" s="77"/>
      <c r="C480" s="39"/>
      <c r="D480" s="47" t="s">
        <v>361</v>
      </c>
      <c r="E480" s="472">
        <f>E481</f>
        <v>25000</v>
      </c>
      <c r="F480" s="472">
        <f>F481</f>
        <v>0</v>
      </c>
      <c r="G480" s="472">
        <f>G481</f>
        <v>25000</v>
      </c>
      <c r="H480" s="472">
        <f>H481</f>
        <v>0</v>
      </c>
      <c r="I480" s="323">
        <f t="shared" si="59"/>
        <v>0</v>
      </c>
      <c r="J480" s="322">
        <f t="shared" si="60"/>
        <v>0</v>
      </c>
    </row>
    <row r="481" spans="1:10" ht="24">
      <c r="A481" s="138"/>
      <c r="B481" s="77"/>
      <c r="C481" s="39">
        <v>621900</v>
      </c>
      <c r="D481" s="35" t="s">
        <v>380</v>
      </c>
      <c r="E481" s="185">
        <v>25000</v>
      </c>
      <c r="F481" s="185">
        <v>0</v>
      </c>
      <c r="G481" s="185">
        <f t="shared" si="61"/>
        <v>25000</v>
      </c>
      <c r="H481" s="185">
        <v>0</v>
      </c>
      <c r="I481" s="209">
        <f t="shared" si="59"/>
        <v>0</v>
      </c>
      <c r="J481" s="321">
        <f t="shared" si="60"/>
        <v>0</v>
      </c>
    </row>
    <row r="482" spans="1:10" ht="24">
      <c r="A482" s="138"/>
      <c r="B482" s="77">
        <v>628000</v>
      </c>
      <c r="C482" s="39"/>
      <c r="D482" s="47" t="s">
        <v>519</v>
      </c>
      <c r="E482" s="66">
        <f aca="true" t="shared" si="63" ref="E482:H483">SUM(E483)</f>
        <v>88500</v>
      </c>
      <c r="F482" s="66">
        <f t="shared" si="63"/>
        <v>0</v>
      </c>
      <c r="G482" s="66">
        <f t="shared" si="63"/>
        <v>88500</v>
      </c>
      <c r="H482" s="66">
        <f t="shared" si="63"/>
        <v>0</v>
      </c>
      <c r="I482" s="188">
        <f t="shared" si="59"/>
        <v>0</v>
      </c>
      <c r="J482" s="318">
        <f t="shared" si="60"/>
        <v>0</v>
      </c>
    </row>
    <row r="483" spans="1:10" ht="24">
      <c r="A483" s="138"/>
      <c r="B483" s="77"/>
      <c r="C483" s="39"/>
      <c r="D483" s="47" t="s">
        <v>520</v>
      </c>
      <c r="E483" s="323">
        <f t="shared" si="63"/>
        <v>88500</v>
      </c>
      <c r="F483" s="323">
        <f t="shared" si="63"/>
        <v>0</v>
      </c>
      <c r="G483" s="323">
        <f t="shared" si="63"/>
        <v>88500</v>
      </c>
      <c r="H483" s="323">
        <f t="shared" si="63"/>
        <v>0</v>
      </c>
      <c r="I483" s="323">
        <f t="shared" si="59"/>
        <v>0</v>
      </c>
      <c r="J483" s="322">
        <f t="shared" si="60"/>
        <v>0</v>
      </c>
    </row>
    <row r="484" spans="1:10" ht="12.75">
      <c r="A484" s="138"/>
      <c r="B484" s="77"/>
      <c r="C484" s="39">
        <v>628100</v>
      </c>
      <c r="D484" s="35" t="s">
        <v>452</v>
      </c>
      <c r="E484" s="185">
        <v>88500</v>
      </c>
      <c r="F484" s="185">
        <v>0</v>
      </c>
      <c r="G484" s="185">
        <f t="shared" si="61"/>
        <v>88500</v>
      </c>
      <c r="H484" s="185">
        <v>0</v>
      </c>
      <c r="I484" s="209">
        <f t="shared" si="59"/>
        <v>0</v>
      </c>
      <c r="J484" s="321">
        <f t="shared" si="60"/>
        <v>0</v>
      </c>
    </row>
    <row r="485" spans="1:10" ht="12.75">
      <c r="A485" s="138"/>
      <c r="B485" s="65">
        <v>631000</v>
      </c>
      <c r="C485" s="39"/>
      <c r="D485" s="33" t="s">
        <v>404</v>
      </c>
      <c r="E485" s="66">
        <f>SUM(E486:E486)</f>
        <v>3000</v>
      </c>
      <c r="F485" s="66">
        <f>SUM(F486:F486)</f>
        <v>0</v>
      </c>
      <c r="G485" s="66">
        <f>SUM(G486:G486)</f>
        <v>3000</v>
      </c>
      <c r="H485" s="66">
        <f>SUM(H486:H486)</f>
        <v>569.42</v>
      </c>
      <c r="I485" s="188">
        <f t="shared" si="59"/>
        <v>18.980666666666664</v>
      </c>
      <c r="J485" s="318">
        <f t="shared" si="60"/>
        <v>0.004634210211815147</v>
      </c>
    </row>
    <row r="486" spans="1:10" ht="24">
      <c r="A486" s="138"/>
      <c r="B486" s="65"/>
      <c r="C486" s="39">
        <v>631900</v>
      </c>
      <c r="D486" s="31" t="s">
        <v>468</v>
      </c>
      <c r="E486" s="209">
        <v>3000</v>
      </c>
      <c r="F486" s="209">
        <v>0</v>
      </c>
      <c r="G486" s="209">
        <f t="shared" si="61"/>
        <v>3000</v>
      </c>
      <c r="H486" s="209">
        <v>569.42</v>
      </c>
      <c r="I486" s="209">
        <f t="shared" si="59"/>
        <v>18.980666666666664</v>
      </c>
      <c r="J486" s="321">
        <f t="shared" si="60"/>
        <v>0.004634210211815147</v>
      </c>
    </row>
    <row r="487" spans="1:10" ht="22.5" customHeight="1">
      <c r="A487" s="138"/>
      <c r="B487" s="77">
        <v>638000</v>
      </c>
      <c r="C487" s="39"/>
      <c r="D487" s="47" t="s">
        <v>453</v>
      </c>
      <c r="E487" s="66">
        <f>E488</f>
        <v>1000</v>
      </c>
      <c r="F487" s="66">
        <f>F488</f>
        <v>0</v>
      </c>
      <c r="G487" s="66">
        <f>G488</f>
        <v>1000</v>
      </c>
      <c r="H487" s="66">
        <f>H488</f>
        <v>768</v>
      </c>
      <c r="I487" s="188">
        <f t="shared" si="59"/>
        <v>76.8</v>
      </c>
      <c r="J487" s="318">
        <f t="shared" si="60"/>
        <v>0.006250348499655848</v>
      </c>
    </row>
    <row r="488" spans="1:10" ht="24.75" customHeight="1">
      <c r="A488" s="138"/>
      <c r="B488" s="77"/>
      <c r="C488" s="39">
        <v>638100</v>
      </c>
      <c r="D488" s="35" t="s">
        <v>467</v>
      </c>
      <c r="E488" s="185">
        <v>1000</v>
      </c>
      <c r="F488" s="185">
        <v>0</v>
      </c>
      <c r="G488" s="185">
        <f t="shared" si="61"/>
        <v>1000</v>
      </c>
      <c r="H488" s="185">
        <v>768</v>
      </c>
      <c r="I488" s="209">
        <f t="shared" si="59"/>
        <v>76.8</v>
      </c>
      <c r="J488" s="321">
        <f t="shared" si="60"/>
        <v>0.006250348499655848</v>
      </c>
    </row>
    <row r="489" spans="1:10" ht="27.75" customHeight="1">
      <c r="A489" s="558"/>
      <c r="B489" s="559"/>
      <c r="C489" s="549" t="s">
        <v>238</v>
      </c>
      <c r="D489" s="549"/>
      <c r="E489" s="72">
        <f>E447+E449+E461+E464+E471+E482+E485+E487</f>
        <v>7189427.9799999995</v>
      </c>
      <c r="F489" s="72">
        <f>F447+F449+F461+F464+F471+F482+F485+F487</f>
        <v>-10400</v>
      </c>
      <c r="G489" s="72">
        <f>G447+G449+G461+G464+G471+G482+G485+G487</f>
        <v>7179027.9799999995</v>
      </c>
      <c r="H489" s="72">
        <f>H447+H449+H461+H464+H471+H482+H485+H487</f>
        <v>6270694.9399999995</v>
      </c>
      <c r="I489" s="326">
        <f t="shared" si="59"/>
        <v>87.34740911261916</v>
      </c>
      <c r="J489" s="328">
        <f t="shared" si="60"/>
        <v>51.0338915495163</v>
      </c>
    </row>
    <row r="490" spans="1:10" ht="19.5" customHeight="1">
      <c r="A490" s="556"/>
      <c r="B490" s="557"/>
      <c r="C490" s="545" t="s">
        <v>201</v>
      </c>
      <c r="D490" s="565"/>
      <c r="E490" s="180"/>
      <c r="F490" s="180"/>
      <c r="G490" s="180"/>
      <c r="H490" s="180"/>
      <c r="I490" s="180"/>
      <c r="J490" s="382"/>
    </row>
    <row r="491" spans="1:10" ht="8.25" customHeight="1">
      <c r="A491" s="556"/>
      <c r="B491" s="557"/>
      <c r="C491" s="566"/>
      <c r="D491" s="565"/>
      <c r="E491" s="181"/>
      <c r="F491" s="181"/>
      <c r="G491" s="181"/>
      <c r="H491" s="181"/>
      <c r="I491" s="181"/>
      <c r="J491" s="383"/>
    </row>
    <row r="492" spans="1:10" ht="12.75" customHeight="1">
      <c r="A492" s="556"/>
      <c r="B492" s="557"/>
      <c r="C492" s="107" t="s">
        <v>219</v>
      </c>
      <c r="D492" s="87" t="s">
        <v>103</v>
      </c>
      <c r="E492" s="364">
        <v>160000</v>
      </c>
      <c r="F492" s="364">
        <v>-99761.5</v>
      </c>
      <c r="G492" s="364">
        <f>E492+F492</f>
        <v>60238.5</v>
      </c>
      <c r="H492" s="364">
        <v>0</v>
      </c>
      <c r="I492" s="363">
        <f>IF(G492&gt;0,H492/G492*100,0)</f>
        <v>0</v>
      </c>
      <c r="J492" s="365">
        <f>H492/$H$494*100</f>
        <v>0</v>
      </c>
    </row>
    <row r="493" spans="1:10" ht="25.5" customHeight="1">
      <c r="A493" s="556"/>
      <c r="B493" s="557"/>
      <c r="C493" s="549" t="s">
        <v>202</v>
      </c>
      <c r="D493" s="550"/>
      <c r="E493" s="72">
        <f>E492</f>
        <v>160000</v>
      </c>
      <c r="F493" s="72">
        <f>F492</f>
        <v>-99761.5</v>
      </c>
      <c r="G493" s="72">
        <f>G492</f>
        <v>60238.5</v>
      </c>
      <c r="H493" s="72">
        <f>H492</f>
        <v>0</v>
      </c>
      <c r="I493" s="331">
        <f>IF(G493&gt;0,H493/G493*100,0)</f>
        <v>0</v>
      </c>
      <c r="J493" s="328">
        <f>H493/$H$494*100</f>
        <v>0</v>
      </c>
    </row>
    <row r="494" spans="1:12" s="10" customFormat="1" ht="24" customHeight="1" thickBot="1">
      <c r="A494" s="569" t="s">
        <v>229</v>
      </c>
      <c r="B494" s="570"/>
      <c r="C494" s="567" t="s">
        <v>239</v>
      </c>
      <c r="D494" s="568"/>
      <c r="E494" s="74">
        <f>E20+E39++E52+E65+E82+E135+E144+E186+E222+E232+E255+E274++E293+E329+E349+E372+E383+E408+E434+E444+E489+E493</f>
        <v>21234381.849999998</v>
      </c>
      <c r="F494" s="74">
        <f>F20+F39++F52+F65+F82+F135+F144+F186+F222+F232+F255+F274++F293+F329+F349+F372+F383+F408+F434+F444+F489+F493</f>
        <v>0</v>
      </c>
      <c r="G494" s="74">
        <f>G20+G39++G52+G65+G82+G135+G144+G186+G222+G232+G255+G274++G293+G329+G349+G372+G383+G408+G434+G444+G489+G493</f>
        <v>21234381.849999998</v>
      </c>
      <c r="H494" s="74">
        <f>H20+H39++H52+H65+H82+H135+H144+H186+H222+H232+H255+H274++H293+H329+H349+H372+H383+H408+H434+H444+H489+H493</f>
        <v>12287314.86</v>
      </c>
      <c r="I494" s="329">
        <f>IF(G494&gt;0,H494/G494*100,0)</f>
        <v>57.865187443636366</v>
      </c>
      <c r="J494" s="330">
        <f>H494/$H$494*100</f>
        <v>100</v>
      </c>
      <c r="K494" s="395"/>
      <c r="L494" s="407"/>
    </row>
    <row r="495" spans="1:12" s="10" customFormat="1" ht="24" customHeight="1" thickTop="1">
      <c r="A495" s="255"/>
      <c r="B495" s="255"/>
      <c r="C495" s="263"/>
      <c r="D495" s="263"/>
      <c r="E495" s="264"/>
      <c r="F495" s="264"/>
      <c r="G495" s="264"/>
      <c r="H495" s="264"/>
      <c r="I495" s="264"/>
      <c r="J495" s="265"/>
      <c r="K495" s="395"/>
      <c r="L495" s="395"/>
    </row>
    <row r="496" spans="4:12" ht="12.75">
      <c r="D496" s="207"/>
      <c r="E496" s="75"/>
      <c r="F496" s="75"/>
      <c r="G496" s="75"/>
      <c r="H496" s="75"/>
      <c r="I496" s="75"/>
      <c r="J496" s="227"/>
      <c r="L496" s="264"/>
    </row>
    <row r="497" spans="4:13" ht="12.75">
      <c r="D497" s="207"/>
      <c r="E497" s="75"/>
      <c r="F497" s="75"/>
      <c r="G497" s="75"/>
      <c r="H497" s="75"/>
      <c r="I497" s="75"/>
      <c r="J497" s="227"/>
      <c r="K497" s="406"/>
      <c r="M497" s="207"/>
    </row>
    <row r="498" spans="1:10" ht="12.75">
      <c r="A498" s="551"/>
      <c r="B498" s="551"/>
      <c r="C498" s="551"/>
      <c r="D498" s="551"/>
      <c r="E498" s="270"/>
      <c r="F498" s="270"/>
      <c r="G498" s="270"/>
      <c r="H498" s="270"/>
      <c r="I498" s="270"/>
      <c r="J498" s="227"/>
    </row>
    <row r="499" spans="1:10" ht="12.75">
      <c r="A499" s="225"/>
      <c r="B499" s="61"/>
      <c r="C499" s="61"/>
      <c r="D499" s="228"/>
      <c r="E499" s="226"/>
      <c r="F499" s="226"/>
      <c r="G499" s="226"/>
      <c r="H499" s="226"/>
      <c r="I499" s="226"/>
      <c r="J499" s="227"/>
    </row>
    <row r="500" spans="1:10" ht="12.75">
      <c r="A500" s="225"/>
      <c r="B500" s="61"/>
      <c r="C500" s="61"/>
      <c r="D500" s="228"/>
      <c r="E500" s="274"/>
      <c r="F500" s="274"/>
      <c r="G500" s="274"/>
      <c r="H500" s="274"/>
      <c r="I500" s="274"/>
      <c r="J500" s="227"/>
    </row>
    <row r="501" spans="1:10" ht="12.75">
      <c r="A501" s="225"/>
      <c r="B501" s="61"/>
      <c r="C501" s="61"/>
      <c r="D501" s="228"/>
      <c r="E501" s="226"/>
      <c r="F501" s="226"/>
      <c r="G501" s="226"/>
      <c r="H501" s="226"/>
      <c r="I501" s="226"/>
      <c r="J501" s="227"/>
    </row>
    <row r="502" spans="1:10" ht="12.75">
      <c r="A502" s="238"/>
      <c r="B502" s="239"/>
      <c r="C502" s="239"/>
      <c r="D502" s="238"/>
      <c r="E502" s="239"/>
      <c r="F502" s="239"/>
      <c r="G502" s="239"/>
      <c r="H502" s="239"/>
      <c r="I502" s="239"/>
      <c r="J502" s="239"/>
    </row>
    <row r="503" spans="1:12" s="11" customFormat="1" ht="15.75" customHeight="1">
      <c r="A503" s="51"/>
      <c r="B503" s="51"/>
      <c r="C503" s="51"/>
      <c r="D503" s="240"/>
      <c r="E503" s="229"/>
      <c r="F503" s="229"/>
      <c r="G503" s="229"/>
      <c r="H503" s="229"/>
      <c r="I503" s="229"/>
      <c r="J503" s="230"/>
      <c r="K503" s="396"/>
      <c r="L503" s="404"/>
    </row>
    <row r="504" spans="1:12" s="11" customFormat="1" ht="12.75">
      <c r="A504" s="231"/>
      <c r="B504" s="230"/>
      <c r="C504" s="230"/>
      <c r="D504" s="240"/>
      <c r="E504" s="232"/>
      <c r="F504" s="232"/>
      <c r="G504" s="232"/>
      <c r="H504" s="232"/>
      <c r="I504" s="232"/>
      <c r="J504" s="230"/>
      <c r="K504" s="396"/>
      <c r="L504" s="404"/>
    </row>
    <row r="505" spans="1:10" ht="12.75">
      <c r="A505" s="225"/>
      <c r="B505" s="61"/>
      <c r="C505" s="61"/>
      <c r="D505" s="228"/>
      <c r="E505" s="232"/>
      <c r="F505" s="232"/>
      <c r="G505" s="232"/>
      <c r="H505" s="232"/>
      <c r="I505" s="232"/>
      <c r="J505" s="61"/>
    </row>
    <row r="506" spans="1:10" ht="23.25" customHeight="1">
      <c r="A506" s="225"/>
      <c r="B506" s="61"/>
      <c r="C506" s="61"/>
      <c r="D506" s="228"/>
      <c r="E506" s="232"/>
      <c r="F506" s="232"/>
      <c r="G506" s="232"/>
      <c r="H506" s="232"/>
      <c r="I506" s="232"/>
      <c r="J506" s="61"/>
    </row>
    <row r="507" spans="1:10" ht="12.75">
      <c r="A507" s="225"/>
      <c r="B507" s="61"/>
      <c r="C507" s="61"/>
      <c r="D507" s="227"/>
      <c r="E507" s="233"/>
      <c r="F507" s="233"/>
      <c r="G507" s="233"/>
      <c r="H507" s="233"/>
      <c r="I507" s="233"/>
      <c r="J507" s="61"/>
    </row>
    <row r="508" spans="1:10" ht="2.25" customHeight="1">
      <c r="A508" s="225"/>
      <c r="B508" s="61"/>
      <c r="C508" s="61"/>
      <c r="D508" s="61"/>
      <c r="E508" s="234"/>
      <c r="F508" s="234"/>
      <c r="G508" s="234"/>
      <c r="H508" s="234"/>
      <c r="I508" s="234"/>
      <c r="J508" s="61"/>
    </row>
    <row r="509" ht="12.75">
      <c r="D509" s="3"/>
    </row>
    <row r="510" ht="12.75">
      <c r="D510" s="207"/>
    </row>
    <row r="511" ht="12.75">
      <c r="D511" s="207"/>
    </row>
    <row r="512" ht="12.75">
      <c r="A512" s="6"/>
    </row>
    <row r="513" spans="1:4" ht="12.75">
      <c r="A513" s="6"/>
      <c r="D513" s="207"/>
    </row>
    <row r="514" ht="12.75">
      <c r="A514" s="6"/>
    </row>
    <row r="515" ht="12.75">
      <c r="A515" s="6"/>
    </row>
    <row r="516" ht="2.25" customHeight="1">
      <c r="A516" s="6"/>
    </row>
    <row r="517" ht="12.75" hidden="1">
      <c r="A517" s="6"/>
    </row>
    <row r="518" ht="12.75" hidden="1">
      <c r="A518" s="6"/>
    </row>
    <row r="519" ht="12.75" hidden="1"/>
    <row r="520" ht="10.5" customHeight="1" hidden="1"/>
    <row r="521" ht="12.75" hidden="1"/>
    <row r="522" ht="12.75" hidden="1"/>
    <row r="523" ht="12.75" hidden="1"/>
    <row r="530" spans="1:12" s="13" customFormat="1" ht="15.75" customHeight="1">
      <c r="A530" s="9"/>
      <c r="E530" s="59"/>
      <c r="F530" s="59"/>
      <c r="G530" s="59"/>
      <c r="H530" s="59"/>
      <c r="I530" s="59"/>
      <c r="J530" s="53"/>
      <c r="K530" s="397"/>
      <c r="L530" s="405"/>
    </row>
    <row r="540" spans="1:12" s="13" customFormat="1" ht="15.75" customHeight="1">
      <c r="A540" s="9"/>
      <c r="E540" s="59"/>
      <c r="F540" s="59"/>
      <c r="G540" s="59"/>
      <c r="H540" s="59"/>
      <c r="I540" s="59"/>
      <c r="J540" s="53"/>
      <c r="K540" s="397"/>
      <c r="L540" s="405"/>
    </row>
    <row r="543" spans="1:12" s="13" customFormat="1" ht="15.75" customHeight="1">
      <c r="A543" s="9"/>
      <c r="E543" s="59"/>
      <c r="F543" s="59"/>
      <c r="G543" s="59"/>
      <c r="H543" s="59"/>
      <c r="I543" s="59"/>
      <c r="J543" s="53"/>
      <c r="K543" s="397"/>
      <c r="L543" s="405"/>
    </row>
    <row r="548" ht="15.75" customHeight="1">
      <c r="A548" s="6"/>
    </row>
    <row r="549" spans="1:3" ht="12.75">
      <c r="A549" s="6"/>
      <c r="C549" s="12"/>
    </row>
    <row r="550" spans="1:3" ht="12.75">
      <c r="A550" s="6"/>
      <c r="C550" s="12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spans="1:4" ht="12.75">
      <c r="A565" s="6"/>
      <c r="D565" s="8"/>
    </row>
    <row r="566" spans="1:9" ht="12.75">
      <c r="A566" s="6"/>
      <c r="D566" s="14"/>
      <c r="E566" s="58"/>
      <c r="F566" s="58"/>
      <c r="G566" s="58"/>
      <c r="H566" s="58"/>
      <c r="I566" s="58"/>
    </row>
    <row r="567" spans="1:9" ht="12.75">
      <c r="A567" s="6"/>
      <c r="D567" s="14"/>
      <c r="E567" s="58"/>
      <c r="F567" s="58"/>
      <c r="G567" s="58"/>
      <c r="H567" s="58"/>
      <c r="I567" s="58"/>
    </row>
    <row r="568" spans="1:4" ht="12.75">
      <c r="A568" s="6"/>
      <c r="D568" s="8"/>
    </row>
    <row r="569" spans="1:4" ht="12.75">
      <c r="A569" s="6"/>
      <c r="D569" s="8"/>
    </row>
    <row r="570" spans="1:4" ht="12.75">
      <c r="A570" s="6"/>
      <c r="D570" s="8"/>
    </row>
    <row r="571" spans="1:4" ht="12.75">
      <c r="A571" s="6"/>
      <c r="D571" s="8"/>
    </row>
    <row r="572" spans="1:4" ht="12.75">
      <c r="A572" s="6"/>
      <c r="D572" s="8"/>
    </row>
    <row r="573" spans="1:4" ht="12.75">
      <c r="A573" s="6"/>
      <c r="D573" s="8"/>
    </row>
    <row r="574" spans="1:4" ht="12.75">
      <c r="A574" s="6"/>
      <c r="D574" s="8"/>
    </row>
    <row r="575" spans="1:4" ht="12.75">
      <c r="A575" s="6"/>
      <c r="D575" s="8"/>
    </row>
    <row r="576" spans="1:4" ht="12.75">
      <c r="A576" s="6"/>
      <c r="D576" s="8"/>
    </row>
    <row r="577" spans="1:4" ht="12.75">
      <c r="A577" s="6"/>
      <c r="D577" s="8"/>
    </row>
    <row r="578" spans="1:4" ht="12.75">
      <c r="A578" s="6"/>
      <c r="D578" s="8"/>
    </row>
    <row r="579" spans="1:4" ht="12.75">
      <c r="A579" s="6"/>
      <c r="D579" s="8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spans="1:9" ht="12.75">
      <c r="A586" s="6"/>
      <c r="E586" s="58"/>
      <c r="F586" s="58"/>
      <c r="G586" s="58"/>
      <c r="H586" s="58"/>
      <c r="I586" s="58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spans="1:9" ht="12.75">
      <c r="A596" s="6"/>
      <c r="E596" s="58"/>
      <c r="F596" s="58"/>
      <c r="G596" s="58"/>
      <c r="H596" s="58"/>
      <c r="I596" s="58"/>
    </row>
    <row r="597" ht="12.75">
      <c r="A597" s="6"/>
    </row>
    <row r="598" ht="12.75">
      <c r="A598" s="6"/>
    </row>
    <row r="599" ht="12.75">
      <c r="A599" s="6"/>
    </row>
  </sheetData>
  <sheetProtection/>
  <mergeCells count="103">
    <mergeCell ref="A255:B255"/>
    <mergeCell ref="A350:B351"/>
    <mergeCell ref="E2:E3"/>
    <mergeCell ref="A136:B138"/>
    <mergeCell ref="A53:B55"/>
    <mergeCell ref="A66:B68"/>
    <mergeCell ref="A144:B144"/>
    <mergeCell ref="C350:D351"/>
    <mergeCell ref="C40:D42"/>
    <mergeCell ref="A135:B135"/>
    <mergeCell ref="A82:B82"/>
    <mergeCell ref="C434:D434"/>
    <mergeCell ref="A408:B408"/>
    <mergeCell ref="A384:B385"/>
    <mergeCell ref="A293:B293"/>
    <mergeCell ref="C372:D372"/>
    <mergeCell ref="A409:B411"/>
    <mergeCell ref="C256:D257"/>
    <mergeCell ref="A186:B186"/>
    <mergeCell ref="A275:B277"/>
    <mergeCell ref="E373:J374"/>
    <mergeCell ref="C383:D383"/>
    <mergeCell ref="A383:B383"/>
    <mergeCell ref="B373:B374"/>
    <mergeCell ref="C384:D385"/>
    <mergeCell ref="A373:A374"/>
    <mergeCell ref="C373:D374"/>
    <mergeCell ref="C274:D274"/>
    <mergeCell ref="C489:D489"/>
    <mergeCell ref="C408:D408"/>
    <mergeCell ref="C445:D446"/>
    <mergeCell ref="A372:B372"/>
    <mergeCell ref="C435:D435"/>
    <mergeCell ref="A435:B435"/>
    <mergeCell ref="A294:B296"/>
    <mergeCell ref="C494:D494"/>
    <mergeCell ref="A494:B494"/>
    <mergeCell ref="A274:B274"/>
    <mergeCell ref="C255:D255"/>
    <mergeCell ref="A349:B349"/>
    <mergeCell ref="C349:D349"/>
    <mergeCell ref="C294:D296"/>
    <mergeCell ref="A489:B489"/>
    <mergeCell ref="C444:D444"/>
    <mergeCell ref="A444:B444"/>
    <mergeCell ref="C493:D493"/>
    <mergeCell ref="C490:D491"/>
    <mergeCell ref="A493:B493"/>
    <mergeCell ref="A490:B491"/>
    <mergeCell ref="A445:B446"/>
    <mergeCell ref="A329:B329"/>
    <mergeCell ref="C329:D329"/>
    <mergeCell ref="A492:B492"/>
    <mergeCell ref="A434:B434"/>
    <mergeCell ref="C409:D411"/>
    <mergeCell ref="A256:B257"/>
    <mergeCell ref="A330:B332"/>
    <mergeCell ref="C275:D277"/>
    <mergeCell ref="C5:D7"/>
    <mergeCell ref="C20:D20"/>
    <mergeCell ref="C145:D148"/>
    <mergeCell ref="A145:B148"/>
    <mergeCell ref="A223:B225"/>
    <mergeCell ref="C82:D82"/>
    <mergeCell ref="C83:D86"/>
    <mergeCell ref="A1:J1"/>
    <mergeCell ref="A2:A3"/>
    <mergeCell ref="B2:C2"/>
    <mergeCell ref="D2:D3"/>
    <mergeCell ref="J2:J3"/>
    <mergeCell ref="H2:H3"/>
    <mergeCell ref="F2:F3"/>
    <mergeCell ref="G2:G3"/>
    <mergeCell ref="A187:B190"/>
    <mergeCell ref="C233:D235"/>
    <mergeCell ref="A21:B23"/>
    <mergeCell ref="C39:D39"/>
    <mergeCell ref="C53:D55"/>
    <mergeCell ref="A65:B65"/>
    <mergeCell ref="A83:B86"/>
    <mergeCell ref="C144:D144"/>
    <mergeCell ref="C66:D68"/>
    <mergeCell ref="C52:D52"/>
    <mergeCell ref="A5:B7"/>
    <mergeCell ref="C65:D65"/>
    <mergeCell ref="A20:B20"/>
    <mergeCell ref="C232:D232"/>
    <mergeCell ref="A39:B39"/>
    <mergeCell ref="A222:B222"/>
    <mergeCell ref="A232:B232"/>
    <mergeCell ref="C222:D222"/>
    <mergeCell ref="C223:D225"/>
    <mergeCell ref="A40:B42"/>
    <mergeCell ref="C187:D190"/>
    <mergeCell ref="I2:I3"/>
    <mergeCell ref="C21:D23"/>
    <mergeCell ref="C135:D135"/>
    <mergeCell ref="A498:D498"/>
    <mergeCell ref="C330:D332"/>
    <mergeCell ref="C186:D186"/>
    <mergeCell ref="A233:B235"/>
    <mergeCell ref="C293:D293"/>
    <mergeCell ref="C136:D138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r:id="rId1"/>
  <headerFooter alignWithMargins="0">
    <oddFooter>&amp;R&amp;P</oddFooter>
  </headerFooter>
  <rowBreaks count="20" manualBreakCount="20">
    <brk id="39" max="11" man="1"/>
    <brk id="65" max="11" man="1"/>
    <brk id="89" max="11" man="1"/>
    <brk id="116" max="11" man="1"/>
    <brk id="142" max="11" man="1"/>
    <brk id="161" max="11" man="1"/>
    <brk id="183" max="11" man="1"/>
    <brk id="206" max="11" man="1"/>
    <brk id="230" max="11" man="1"/>
    <brk id="254" max="11" man="1"/>
    <brk id="279" max="11" man="1"/>
    <brk id="307" max="11" man="1"/>
    <brk id="333" max="11" man="1"/>
    <brk id="356" max="11" man="1"/>
    <brk id="383" max="11" man="1"/>
    <brk id="407" max="11" man="1"/>
    <brk id="433" max="11" man="1"/>
    <brk id="455" max="11" man="1"/>
    <brk id="477" max="11" man="1"/>
    <brk id="49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7.28125" style="0" customWidth="1"/>
    <col min="2" max="2" width="48.00390625" style="0" customWidth="1"/>
    <col min="3" max="6" width="16.57421875" style="0" customWidth="1"/>
    <col min="7" max="8" width="11.00390625" style="0" customWidth="1"/>
    <col min="9" max="10" width="13.7109375" style="0" customWidth="1"/>
    <col min="11" max="11" width="14.140625" style="0" customWidth="1"/>
    <col min="12" max="12" width="13.7109375" style="0" customWidth="1"/>
    <col min="13" max="13" width="13.8515625" style="0" customWidth="1"/>
    <col min="14" max="14" width="14.7109375" style="0" customWidth="1"/>
  </cols>
  <sheetData>
    <row r="1" spans="1:8" ht="43.5" customHeight="1">
      <c r="A1" s="586" t="s">
        <v>556</v>
      </c>
      <c r="B1" s="587"/>
      <c r="C1" s="587"/>
      <c r="D1" s="587"/>
      <c r="E1" s="587"/>
      <c r="F1" s="587"/>
      <c r="G1" s="587"/>
      <c r="H1" s="587"/>
    </row>
    <row r="2" spans="1:8" ht="16.5" customHeight="1" thickBot="1">
      <c r="A2" s="588" t="s">
        <v>501</v>
      </c>
      <c r="B2" s="589"/>
      <c r="C2" s="454"/>
      <c r="D2" s="454"/>
      <c r="E2" s="454"/>
      <c r="F2" s="454"/>
      <c r="G2" s="454"/>
      <c r="H2" s="454"/>
    </row>
    <row r="3" spans="1:8" ht="93.75" customHeight="1" thickTop="1">
      <c r="A3" s="129" t="s">
        <v>248</v>
      </c>
      <c r="B3" s="114" t="s">
        <v>249</v>
      </c>
      <c r="C3" s="137" t="s">
        <v>484</v>
      </c>
      <c r="D3" s="137" t="s">
        <v>557</v>
      </c>
      <c r="E3" s="137" t="s">
        <v>534</v>
      </c>
      <c r="F3" s="137" t="s">
        <v>548</v>
      </c>
      <c r="G3" s="137" t="s">
        <v>118</v>
      </c>
      <c r="H3" s="139" t="s">
        <v>131</v>
      </c>
    </row>
    <row r="4" spans="1:8" ht="15" customHeight="1">
      <c r="A4" s="148">
        <v>1</v>
      </c>
      <c r="B4" s="26">
        <v>2</v>
      </c>
      <c r="C4" s="189" t="s">
        <v>129</v>
      </c>
      <c r="D4" s="189" t="s">
        <v>377</v>
      </c>
      <c r="E4" s="189" t="s">
        <v>536</v>
      </c>
      <c r="F4" s="189" t="s">
        <v>543</v>
      </c>
      <c r="G4" s="189" t="s">
        <v>537</v>
      </c>
      <c r="H4" s="149">
        <v>8</v>
      </c>
    </row>
    <row r="5" spans="1:10" ht="14.25">
      <c r="A5" s="130" t="s">
        <v>64</v>
      </c>
      <c r="B5" s="131" t="s">
        <v>73</v>
      </c>
      <c r="C5" s="190">
        <f>SUM(SUMIF(Org!$A$8:Org!$A$492," 0111",Org!E$8:Org!E$492),SUMIF(Org!$A$10:Org!$A$492," 0160",Org!E$10:Org!E$493),SUMIF(Org!$A$10:Org!$A$492," 0180",Org!E$10:Org!E$493),SUMIF(Org!$A$10:Org!$A$492,"0170 ",Org!E$10:Org!E$492))-'B.pr. i prim. za nef. im.'!E82-'B.pr. i prim. za nef. im.'!E84</f>
        <v>4520700</v>
      </c>
      <c r="D5" s="190">
        <f>SUM(SUMIF(Org!$A$8:Org!$A$492," 0111",Org!F$8:Org!F$492),SUMIF(Org!$A$10:Org!$A$492," 0160",Org!F$10:Org!F$493),SUMIF(Org!$A$10:Org!$A$492," 0180",Org!F$10:Org!F$493),SUMIF(Org!$A$10:Org!$A$492,"0170 ",Org!F$10:Org!F$492))</f>
        <v>-14966</v>
      </c>
      <c r="E5" s="190">
        <f>SUM(SUMIF(Org!$A$8:Org!$A$492," 0111",Org!G$8:Org!G$492),SUMIF(Org!$A$10:Org!$A$492," 0160",Org!G$10:Org!G$493),SUMIF(Org!$A$10:Org!$A$492," 0180",Org!G$10:Org!G$493),SUMIF(Org!$A$10:Org!$A$492,"0170 ",Org!G$10:Org!G$492))-'B.pr. i prim. za nef. im.'!FF82-'B.pr. i prim. za nef. im.'!E84</f>
        <v>4505734</v>
      </c>
      <c r="F5" s="190">
        <f>SUM(SUMIF(Org!$A$8:Org!$A$492," 0111",Org!H$8:Org!H$492),SUMIF(Org!$A$10:Org!$A$492," 0160",Org!H$10:Org!H$493),SUMIF(Org!$A$10:Org!$A$492," 0180",Org!H$10:Org!H$493),SUMIF(Org!$A$10:Org!$A$492,"0170 ",Org!H$10:Org!H$492))-'B.pr. i prim. za nef. im.'!F82-'B.pr. i prim. za nef. im.'!F84</f>
        <v>2226478.82</v>
      </c>
      <c r="G5" s="190">
        <f>IF(E5&gt;0,F5/E5*100,0)</f>
        <v>49.41434225810933</v>
      </c>
      <c r="H5" s="132">
        <f>F5/$F$15*100</f>
        <v>36.62752108420837</v>
      </c>
      <c r="J5" s="1"/>
    </row>
    <row r="6" spans="1:10" ht="14.25">
      <c r="A6" s="130" t="s">
        <v>65</v>
      </c>
      <c r="B6" s="133" t="s">
        <v>74</v>
      </c>
      <c r="C6" s="190">
        <f>SUM(SUMIF(Org!$A$10:Org!$A$493,"02",Org!E$10:Org!E$493))</f>
        <v>0</v>
      </c>
      <c r="D6" s="190">
        <f>SUM(SUMIF(Org!$A$10:Org!$A$493,"02",Org!F$10:Org!F$493))</f>
        <v>0</v>
      </c>
      <c r="E6" s="190">
        <f>SUM(SUMIF(Org!$A$10:Org!$A$493,"02",Org!G$10:Org!G$493))</f>
        <v>0</v>
      </c>
      <c r="F6" s="190">
        <f>SUM(SUMIF(Org!$A$10:Org!$A$493,"02",Org!H$10:Org!H$493))</f>
        <v>0</v>
      </c>
      <c r="G6" s="190">
        <f aca="true" t="shared" si="0" ref="G6:G15">IF(E6&gt;0,F6/E6*100,0)</f>
        <v>0</v>
      </c>
      <c r="H6" s="132">
        <f aca="true" t="shared" si="1" ref="H6:H15">F6/$F$15*100</f>
        <v>0</v>
      </c>
      <c r="J6" s="1"/>
    </row>
    <row r="7" spans="1:10" ht="14.25">
      <c r="A7" s="130" t="s">
        <v>66</v>
      </c>
      <c r="B7" s="131" t="s">
        <v>75</v>
      </c>
      <c r="C7" s="190">
        <f>SUM(SUMIF(Org!$A$10:Org!$A$492," 0320",Org!E$10:Org!E$493))</f>
        <v>339781.85</v>
      </c>
      <c r="D7" s="190">
        <f>SUM(SUMIF(Org!$A$10:Org!$A$492," 0320",Org!F$10:Org!F$493))</f>
        <v>0</v>
      </c>
      <c r="E7" s="190">
        <f>SUM(SUMIF(Org!$A$10:Org!$A$492," 0320",Org!G$10:Org!G$493))</f>
        <v>339781.85</v>
      </c>
      <c r="F7" s="190">
        <f>SUM(SUMIF(Org!$A$10:Org!$A$492," 0320",Org!H$10:Org!H$493))</f>
        <v>11310.41</v>
      </c>
      <c r="G7" s="190">
        <f t="shared" si="0"/>
        <v>3.3287269464216527</v>
      </c>
      <c r="H7" s="132">
        <f t="shared" si="1"/>
        <v>0.1860661224462226</v>
      </c>
      <c r="J7" s="1"/>
    </row>
    <row r="8" spans="1:10" ht="14.25">
      <c r="A8" s="130" t="s">
        <v>67</v>
      </c>
      <c r="B8" s="134" t="s">
        <v>76</v>
      </c>
      <c r="C8" s="190">
        <f>SUM(SUMIF(Org!$A$10:Org!$A$492," 0412",Org!E$10:Org!E$492),SUMIF(Org!$A$10:Org!$A$492," 0421",Org!E$10:Org!E$492),SUMIF(Org!$A$10:Org!$A$492," 0422",Org!E$10:Org!E$492),SUMIF(Org!$A$10:Org!$A$492," 0442",Org!E$10:Org!E$492),SUMIF(Org!$A$10:Org!$A$492," 0451",Org!E$10:Org!E$493),SUMIF(Org!$A$10:Org!$A$492," 0473",Org!E$10:Org!E$493),SUMIF(Org!$A$10:Org!$A$492,"0474 ",Org!E$10:Org!E$492),SUMIF(Org!$A$10:Org!$A$492,"0490 ",Org!E$10:Org!E$492))</f>
        <v>1274000</v>
      </c>
      <c r="D8" s="190">
        <f>SUM(SUMIF(Org!$A$10:Org!$A$492," 0412",Org!F$10:Org!F$492),SUMIF(Org!$A$10:Org!$A$492," 0421",Org!F$10:Org!F$492),SUMIF(Org!$A$10:Org!$A$492," 0422",Org!F$10:Org!F$492),SUMIF(Org!$A$10:Org!$A$492," 0442",Org!F$10:Org!F$492),SUMIF(Org!$A$10:Org!$A$492," 0451",Org!F$10:Org!F$493),SUMIF(Org!$A$10:Org!$A$492," 0473",Org!F$10:Org!F$493),SUMIF(Org!$A$10:Org!$A$492,"0474 ",Org!F$10:Org!F$492),SUMIF(Org!$A$10:Org!$A$492,"0490 ",Org!F$10:Org!F$492))</f>
        <v>-58200</v>
      </c>
      <c r="E8" s="190">
        <f>SUM(SUMIF(Org!$A$10:Org!$A$492," 0412",Org!G$10:Org!G$492),SUMIF(Org!$A$10:Org!$A$492," 0421",Org!G$10:Org!G$492),SUMIF(Org!$A$10:Org!$A$492," 0422",Org!G$10:Org!G$492),SUMIF(Org!$A$10:Org!$A$492," 0442",Org!G$10:Org!G$492),SUMIF(Org!$A$10:Org!$A$492," 0451",Org!G$10:Org!G$493),SUMIF(Org!$A$10:Org!$A$492," 0473",Org!G$10:Org!G$493),SUMIF(Org!$A$10:Org!$A$492,"0474 ",Org!G$10:Org!G$492),SUMIF(Org!$A$10:Org!$A$492,"0490 ",Org!G$10:Org!G$492))</f>
        <v>1215800</v>
      </c>
      <c r="F8" s="190">
        <f>SUM(SUMIF(Org!$A$10:Org!$A$492," 0412",Org!H$10:Org!H$492),SUMIF(Org!$A$10:Org!$A$492," 0421",Org!H$10:Org!H$492),SUMIF(Org!$A$10:Org!$A$492," 0422",Org!H$10:Org!H$492),SUMIF(Org!$A$10:Org!$A$492," 0442",Org!H$10:Org!H$492),SUMIF(Org!$A$10:Org!$A$492," 0451",Org!H$10:Org!H$493),SUMIF(Org!$A$10:Org!$A$492," 0473",Org!H$10:Org!H$493),SUMIF(Org!$A$10:Org!$A$492,"0474 ",Org!H$10:Org!H$492),SUMIF(Org!$A$10:Org!$A$492,"0490 ",Org!H$10:Org!H$492))</f>
        <v>363158.59</v>
      </c>
      <c r="G8" s="190">
        <f t="shared" si="0"/>
        <v>29.86992844217799</v>
      </c>
      <c r="H8" s="132">
        <f t="shared" si="1"/>
        <v>5.97427597004331</v>
      </c>
      <c r="I8" s="1"/>
      <c r="J8" s="1"/>
    </row>
    <row r="9" spans="1:10" ht="14.25">
      <c r="A9" s="130" t="s">
        <v>68</v>
      </c>
      <c r="B9" s="134" t="s">
        <v>77</v>
      </c>
      <c r="C9" s="190">
        <f>SUM(SUMIF(Org!$A$10:Org!$A$492," 0520",Org!E$10:Org!E$492))</f>
        <v>250000</v>
      </c>
      <c r="D9" s="190">
        <f>SUM(SUMIF(Org!$A$10:Org!$A$492," 0520",Org!F$10:Org!F$492))</f>
        <v>0</v>
      </c>
      <c r="E9" s="190">
        <f>SUM(SUMIF(Org!$A$10:Org!$A$492," 0520",Org!G$10:Org!G$492))</f>
        <v>250000</v>
      </c>
      <c r="F9" s="190">
        <f>SUM(SUMIF(Org!$A$10:Org!$A$492," 0520",Org!H$10:Org!H$492))</f>
        <v>0</v>
      </c>
      <c r="G9" s="190">
        <f t="shared" si="0"/>
        <v>0</v>
      </c>
      <c r="H9" s="132">
        <f t="shared" si="1"/>
        <v>0</v>
      </c>
      <c r="J9" s="1"/>
    </row>
    <row r="10" spans="1:10" ht="14.25">
      <c r="A10" s="130" t="s">
        <v>69</v>
      </c>
      <c r="B10" s="134" t="s">
        <v>78</v>
      </c>
      <c r="C10" s="190">
        <f>SUM(SUMIF(Org!$A$10:Org!$A$492,"0610 ",Org!E$10:Org!E$492),SUMIF(Org!$A$10:Org!$A$492,"0630 ",Org!E$10:Org!E$492),SUMIF(Org!$A$10:Org!$A$492,"0620",Org!E$10:Org!E$492),SUMIF(Org!$A$10:Org!$A$492,"0660",Org!E$10:Org!E$492))</f>
        <v>2217272.02</v>
      </c>
      <c r="D10" s="190">
        <f>SUM(SUMIF(Org!$A$10:Org!$A$492,"0610 ",Org!F$10:Org!F$492),SUMIF(Org!$A$10:Org!$A$492,"0630 ",Org!F$10:Org!F$492),SUMIF(Org!$A$10:Org!$A$492,"0620",Org!F$10:Org!F$492),SUMIF(Org!$A$10:Org!$A$492,"0660",Org!F$10:Org!F$492))</f>
        <v>52760</v>
      </c>
      <c r="E10" s="190">
        <f>SUM(SUMIF(Org!$A$10:Org!$A$492,"0610 ",Org!G$10:Org!G$492),SUMIF(Org!$A$10:Org!$A$492,"0630 ",Org!G$10:Org!G$492),SUMIF(Org!$A$10:Org!$A$492,"0620",Org!G$10:Org!G$492),SUMIF(Org!$A$10:Org!$A$492,"0660",Org!G$10:Org!G$492))</f>
        <v>2270032.02</v>
      </c>
      <c r="F10" s="190">
        <f>SUM(SUMIF(Org!$A$10:Org!$A$492,"0610 ",Org!H$10:Org!H$492),SUMIF(Org!$A$10:Org!$A$492,"0630 ",Org!H$10:Org!H$492),SUMIF(Org!$A$10:Org!$A$492,"0620",Org!H$10:Org!H$492),SUMIF(Org!$A$10:Org!$A$492,"0660",Org!H$10:Org!H$492))</f>
        <v>794425.81</v>
      </c>
      <c r="G10" s="190">
        <f t="shared" si="0"/>
        <v>34.99623807068589</v>
      </c>
      <c r="H10" s="132">
        <f t="shared" si="1"/>
        <v>13.068998386256517</v>
      </c>
      <c r="J10" s="1"/>
    </row>
    <row r="11" spans="1:10" ht="14.25">
      <c r="A11" s="130" t="s">
        <v>70</v>
      </c>
      <c r="B11" s="135" t="s">
        <v>79</v>
      </c>
      <c r="C11" s="190">
        <f>SUM(SUMIF(Org!$A$10:Org!$A$492,"0740",Org!E$10:Org!E$492),SUMIF(Org!$A$10:Org!$A$492,"0734",Org!E$10:Org!E$492))</f>
        <v>189800</v>
      </c>
      <c r="D11" s="190">
        <f>SUM(SUMIF(Org!$A$10:Org!$A$492,"0740",Org!F$10:Org!F$492),SUMIF(Org!$A$10:Org!$A$492,"0734",Org!F$10:Org!F$492))</f>
        <v>0</v>
      </c>
      <c r="E11" s="190">
        <f>SUM(SUMIF(Org!$A$10:Org!$A$492,"0740",Org!G$10:Org!G$492),SUMIF(Org!$A$10:Org!$A$492,"0734",Org!G$10:Org!G$492))</f>
        <v>189800</v>
      </c>
      <c r="F11" s="190">
        <f>SUM(SUMIF(Org!$A$10:Org!$A$492,"0740",Org!H$10:Org!H$492),SUMIF(Org!$A$10:Org!$A$492,"0734",Org!H$10:Org!H$492))</f>
        <v>77657.92</v>
      </c>
      <c r="G11" s="190">
        <f t="shared" si="0"/>
        <v>40.91565858798735</v>
      </c>
      <c r="H11" s="132">
        <f t="shared" si="1"/>
        <v>1.2775406065420225</v>
      </c>
      <c r="J11" s="1"/>
    </row>
    <row r="12" spans="1:10" ht="14.25">
      <c r="A12" s="130" t="s">
        <v>71</v>
      </c>
      <c r="B12" s="135" t="s">
        <v>80</v>
      </c>
      <c r="C12" s="190">
        <f>SUM(SUMIF(Org!$A$10:Org!$A$492,"0810",Org!E$10:E$493),SUMIF(Org!$A$10:Org!$A$493,"0820",Org!E$10:Org!E$493),SUMIF(Org!$A$10:Org!$A$493,"0830",Org!E$10:Org!E$493),SUMIF(Org!$A$10:Org!$A$492,"0840",Org!E$10:Org!E$493),SUMIF(Org!$A$10:Org!$A$492,"0860",Org!E$10:Org!E$493))-'B.pr. i prim. za nef. im.'!E87</f>
        <v>1000600</v>
      </c>
      <c r="D12" s="190">
        <f>SUM(SUMIF(Org!$A$10:Org!$A$492,"0810",Org!F$10:F$493),SUMIF(Org!$A$10:Org!$A$493,"0820",Org!F$10:Org!F$493),SUMIF(Org!$A$10:Org!$A$493,"0830",Org!F$10:Org!F$493),SUMIF(Org!$A$10:Org!$A$492,"0840",Org!F$10:Org!F$493),SUMIF(Org!$A$10:Org!$A$492,"0860",Org!F$10:Org!F$493))</f>
        <v>58188</v>
      </c>
      <c r="E12" s="190">
        <f>SUM(SUMIF(Org!$A$10:Org!$A$492,"0810",Org!G$10:G$493),SUMIF(Org!$A$10:Org!$A$493,"0820",Org!G$10:Org!G$493),SUMIF(Org!$A$10:Org!$A$493,"0830",Org!G$10:Org!G$493),SUMIF(Org!$A$10:Org!$A$492,"0840",Org!G$10:Org!G$493),SUMIF(Org!$A$10:Org!$A$492,"0860",Org!G$10:Org!G$493))-'B.pr. i prim. za nef. im.'!E87</f>
        <v>1058788</v>
      </c>
      <c r="F12" s="190">
        <f>SUM(SUMIF(Org!$A$10:Org!$A$492,"0810",Org!H$10:H$493),SUMIF(Org!$A$10:Org!$A$493,"0820",Org!H$10:Org!H$493),SUMIF(Org!$A$10:Org!$A$493,"0830",Org!H$10:Org!H$493),SUMIF(Org!$A$10:Org!$A$492,"0840",Org!H$10:Org!H$493),SUMIF(Org!$A$10:Org!$A$492,"0860",Org!H$10:Org!H$493))-'B.pr. i prim. za nef. im.'!F87</f>
        <v>498642.01</v>
      </c>
      <c r="G12" s="190">
        <f t="shared" si="0"/>
        <v>47.09554792838605</v>
      </c>
      <c r="H12" s="132">
        <f t="shared" si="1"/>
        <v>8.203096553483963</v>
      </c>
      <c r="J12" s="1"/>
    </row>
    <row r="13" spans="1:10" ht="14.25">
      <c r="A13" s="130" t="s">
        <v>72</v>
      </c>
      <c r="B13" s="134" t="s">
        <v>81</v>
      </c>
      <c r="C13" s="190">
        <f>SUM(SUMIF(Org!$A$10:Org!$A$492,"0912",Org!E$10:Org!E$493),SUMIF(Org!$A$10:Org!$A$492,"0911",Org!E$10:Org!E$493),SUMIF(Org!$A$10:Org!$A$492,"0941",Org!E$10:Org!E$493),SUMIF(Org!$A$10:Org!$A$492,"0942",Org!E$10:Org!E$493),SUMIF(Org!$A$10:Org!$A$492,"0922",Org!E$10:Org!E$493),SUMIF(Org!$A$10:Org!$A$492,"0921",Org!E$10:Org!E$493))</f>
        <v>1252050</v>
      </c>
      <c r="D13" s="190">
        <f>SUM(SUMIF(Org!$A$10:Org!$A$492,"0912",Org!F$10:Org!F$493),SUMIF(Org!$A$10:Org!$A$492,"0911",Org!F$10:Org!F$493),SUMIF(Org!$A$10:Org!$A$492,"0941",Org!F$10:Org!F$493),SUMIF(Org!$A$10:Org!$A$492,"0942",Org!F$10:Org!F$493),SUMIF(Org!$A$10:Org!$A$492,"0922",Org!F$10:Org!F$493),SUMIF(Org!$A$10:Org!$A$492,"0921",Org!F$10:Org!F$493))</f>
        <v>16254.5</v>
      </c>
      <c r="E13" s="190">
        <f>SUM(SUMIF(Org!$A$10:Org!$A$492,"0912",Org!G$10:Org!G$493),SUMIF(Org!$A$10:Org!$A$492,"0911",Org!G$10:Org!G$493),SUMIF(Org!$A$10:Org!$A$492,"0941",Org!G$10:Org!G$493),SUMIF(Org!$A$10:Org!$A$492,"0942",Org!G$10:Org!G$493),SUMIF(Org!$A$10:Org!$A$492,"0922",Org!G$10:Org!G$493),SUMIF(Org!$A$10:Org!$A$492,"0921",Org!G$10:Org!G$493))</f>
        <v>1268304.5</v>
      </c>
      <c r="F13" s="190">
        <f>SUM(SUMIF(Org!$A$10:Org!$A$492,"0912",Org!H$10:Org!H$493),SUMIF(Org!$A$10:Org!$A$492,"0911",Org!H$10:Org!H$493),SUMIF(Org!$A$10:Org!$A$492,"0941",Org!H$10:Org!H$493),SUMIF(Org!$A$10:Org!$A$492,"0942",Org!H$10:Org!H$493),SUMIF(Org!$A$10:Org!$A$492,"0922",Org!H$10:Org!H$493),SUMIF(Org!$A$10:Org!$A$492,"0921",Org!H$10:Org!H$493))</f>
        <v>682329.1</v>
      </c>
      <c r="G13" s="190">
        <f t="shared" si="0"/>
        <v>53.7985239349068</v>
      </c>
      <c r="H13" s="132">
        <f t="shared" si="1"/>
        <v>11.224909607098315</v>
      </c>
      <c r="J13" s="344"/>
    </row>
    <row r="14" spans="1:10" ht="14.25">
      <c r="A14" s="136">
        <v>10</v>
      </c>
      <c r="B14" s="134" t="s">
        <v>82</v>
      </c>
      <c r="C14" s="190">
        <f>SUM(SUMIF(Org!$A$10:Org!$A$493,"1090",Org!E$10:Org!E$493),SUMIF(Org!$A$10:Org!$A$493,"1040",Org!E$10:Org!E$493))</f>
        <v>2962450</v>
      </c>
      <c r="D14" s="190">
        <f>SUM(SUMIF(Org!$A$10:Org!$A$493,"1090",Org!F$10:Org!F$493),SUMIF(Org!$A$10:Org!$A$493,"1040",Org!F$10:Org!F$493))</f>
        <v>45725</v>
      </c>
      <c r="E14" s="190">
        <f>SUM(SUMIF(Org!$A$10:Org!$A$493,"1090",Org!G$10:Org!G$493),SUMIF(Org!$A$10:Org!$A$493,"1040",Org!G$10:Org!G$493))</f>
        <v>3008175</v>
      </c>
      <c r="F14" s="190">
        <f>SUM(SUMIF(Org!$A$10:Org!$A$493,"1090",Org!H$10:Org!H$493),SUMIF(Org!$A$10:Org!$A$493,"1040",Org!H$10:Org!H$493))</f>
        <v>1424701.9699999997</v>
      </c>
      <c r="G14" s="190">
        <f t="shared" si="0"/>
        <v>47.36100692280203</v>
      </c>
      <c r="H14" s="132">
        <f t="shared" si="1"/>
        <v>23.437591669921293</v>
      </c>
      <c r="J14" s="1"/>
    </row>
    <row r="15" spans="1:10" ht="22.5" customHeight="1" thickBot="1">
      <c r="A15" s="191"/>
      <c r="B15" s="261" t="s">
        <v>425</v>
      </c>
      <c r="C15" s="262">
        <f>SUM(C5:C14)</f>
        <v>14006653.87</v>
      </c>
      <c r="D15" s="262">
        <f>SUM(D5:D14)</f>
        <v>99761.5</v>
      </c>
      <c r="E15" s="262">
        <f>SUM(E5:E14)</f>
        <v>14106415.37</v>
      </c>
      <c r="F15" s="262">
        <f>SUM(F5:F14)</f>
        <v>6078704.629999999</v>
      </c>
      <c r="G15" s="262">
        <f t="shared" si="0"/>
        <v>43.09177399474236</v>
      </c>
      <c r="H15" s="451">
        <f t="shared" si="1"/>
        <v>100</v>
      </c>
      <c r="J15" s="1"/>
    </row>
    <row r="16" spans="3:8" ht="13.5" thickTop="1">
      <c r="C16" s="1"/>
      <c r="D16" s="1"/>
      <c r="E16" s="1"/>
      <c r="F16" s="1"/>
      <c r="G16" s="1"/>
      <c r="H16" s="1"/>
    </row>
    <row r="17" spans="1:2" ht="17.25" customHeight="1" thickBot="1">
      <c r="A17" s="590" t="s">
        <v>507</v>
      </c>
      <c r="B17" s="590"/>
    </row>
    <row r="18" spans="1:8" ht="97.5" customHeight="1" thickTop="1">
      <c r="A18" s="455" t="s">
        <v>248</v>
      </c>
      <c r="B18" s="456" t="s">
        <v>502</v>
      </c>
      <c r="C18" s="457" t="s">
        <v>484</v>
      </c>
      <c r="D18" s="457" t="s">
        <v>557</v>
      </c>
      <c r="E18" s="457" t="s">
        <v>534</v>
      </c>
      <c r="F18" s="457" t="s">
        <v>548</v>
      </c>
      <c r="G18" s="457" t="s">
        <v>118</v>
      </c>
      <c r="H18" s="458" t="s">
        <v>131</v>
      </c>
    </row>
    <row r="19" spans="1:8" ht="14.25" customHeight="1" thickBot="1">
      <c r="A19" s="459">
        <v>1</v>
      </c>
      <c r="B19" s="460">
        <v>2</v>
      </c>
      <c r="C19" s="460">
        <v>3</v>
      </c>
      <c r="D19" s="460">
        <v>4</v>
      </c>
      <c r="E19" s="460">
        <v>5</v>
      </c>
      <c r="F19" s="460">
        <v>6</v>
      </c>
      <c r="G19" s="460" t="s">
        <v>537</v>
      </c>
      <c r="H19" s="461">
        <v>8</v>
      </c>
    </row>
    <row r="20" spans="1:8" ht="12.75">
      <c r="A20" s="462" t="s">
        <v>503</v>
      </c>
      <c r="B20" s="463" t="s">
        <v>504</v>
      </c>
      <c r="C20" s="464">
        <f>C15-C21</f>
        <v>12064003.87</v>
      </c>
      <c r="D20" s="464">
        <f>D15-D21</f>
        <v>38132</v>
      </c>
      <c r="E20" s="464">
        <f>E15-E21</f>
        <v>12094974.969999999</v>
      </c>
      <c r="F20" s="464">
        <f>F15-F21</f>
        <v>4994774.099999999</v>
      </c>
      <c r="G20" s="464">
        <f>F20/E20*100</f>
        <v>41.296274795019265</v>
      </c>
      <c r="H20" s="465">
        <f>F20/$F$22*100</f>
        <v>82.16839613080525</v>
      </c>
    </row>
    <row r="21" spans="1:8" ht="13.5" thickBot="1">
      <c r="A21" s="466" t="s">
        <v>505</v>
      </c>
      <c r="B21" s="467" t="s">
        <v>506</v>
      </c>
      <c r="C21" s="468">
        <f>SUM(SUMIF(Org!$A$10:Org!$A$493,"0734",Org!E$10:Org!E$493),SUMIF(Org!$A$10:Org!$A$493,"0740",Org!E$10:Org!E$493),SUMIF(Org!$A$10:Org!$A$493,"0810",Org!E$10:Org!E$493),SUMIF(Org!$A$10:Org!$A$493,"0820",Org!E$10:Org!E$493),SUMIF(Org!$A$10:Org!$A$493,"0911",Org!E$10:Org!E$493),SUMIF(Org!$A$10:Org!$A$493,"0912",Org!E$10:Org!E$493),SUMIF(Org!$A$10:Org!$A$493,"0921",Org!E$10:Org!E$493),SUMIF(Org!$A$10:Org!$A$493,"0922",Org!E$10:Org!E$493),SUMIF(Org!$A$10:Org!$A$493,"0941",Org!E$10:Org!E$493),SUMIF(Org!$A$10:Org!$A$493,"1040",Org!E$10:Org!E$493))-'B.pr. i prim. za nef. im.'!E86</f>
        <v>1942650</v>
      </c>
      <c r="D21" s="468">
        <f>SUM(SUMIF(Org!$A$10:Org!$A$493,"0734",Org!F$10:Org!F$493),SUMIF(Org!$A$10:Org!$A$493,"0740",Org!F$10:Org!F$493),SUMIF(Org!$A$10:Org!$A$493,"0810",Org!F$10:Org!F$493),SUMIF(Org!$A$10:Org!$A$493,"0820",Org!F$10:Org!F$493),SUMIF(Org!$A$10:Org!$A$493,"0911",Org!F$10:Org!F$493),SUMIF(Org!$A$10:Org!$A$493,"0912",Org!F$10:Org!F$493),SUMIF(Org!$A$10:Org!$A$493,"0921",Org!F$10:Org!F$493),SUMIF(Org!$A$10:Org!$A$493,"0922",Org!F$10:Org!F$493),SUMIF(Org!$A$10:Org!$A$493,"0941",Org!F$10:Org!F$493),SUMIF(Org!$A$10:Org!$A$493,"1040",Org!F$10:Org!F$493))-'B.pr. i prim. za nef. im.'!F86</f>
        <v>61629.5</v>
      </c>
      <c r="E21" s="468">
        <f>SUM(SUMIF(Org!$A$10:Org!$A$493,"0734",Org!G$10:Org!G$493),SUMIF(Org!$A$10:Org!$A$493,"0740",Org!G$10:Org!G$493),SUMIF(Org!$A$10:Org!$A$493,"0810",Org!G$10:Org!G$493),SUMIF(Org!$A$10:Org!$A$493,"0820",Org!G$10:Org!G$493),SUMIF(Org!$A$10:Org!$A$493,"0911",Org!G$10:Org!G$493),SUMIF(Org!$A$10:Org!$A$493,"0912",Org!G$10:Org!G$493),SUMIF(Org!$A$10:Org!$A$493,"0921",Org!G$10:Org!G$493),SUMIF(Org!$A$10:Org!$A$493,"0922",Org!G$10:Org!G$493),SUMIF(Org!$A$10:Org!$A$493,"0941",Org!G$10:Org!G$493),SUMIF(Org!$A$10:Org!$A$493,"1040",Org!G$10:Org!G$493))-'B.pr. i prim. za nef. im.'!G86</f>
        <v>2011440.4</v>
      </c>
      <c r="F21" s="468">
        <f>SUM(SUMIF(Org!$A$10:Org!$A$493,"0734",Org!H$10:Org!H$493),SUMIF(Org!$A$10:Org!$A$493,"0740",Org!H$10:Org!H$493),SUMIF(Org!$A$10:Org!$A$493,"0810",Org!H$10:Org!H$493),SUMIF(Org!$A$10:Org!$A$493,"0820",Org!H$10:Org!H$493),SUMIF(Org!$A$10:Org!$A$493,"0911",Org!H$10:Org!H$493),SUMIF(Org!$A$10:Org!$A$493,"0912",Org!H$10:Org!H$493),SUMIF(Org!$A$10:Org!$A$493,"0921",Org!H$10:Org!H$493),SUMIF(Org!$A$10:Org!$A$493,"0922",Org!H$10:Org!H$493),SUMIF(Org!$A$10:Org!$A$493,"0941",Org!H$10:Org!H$493),SUMIF(Org!$A$10:Org!$A$493,"1040",Org!H$10:Org!H$493))-'B.pr. i prim. za nef. im.'!F86</f>
        <v>1083930.53</v>
      </c>
      <c r="G21" s="504">
        <f>F21/E21*100</f>
        <v>53.888274790543136</v>
      </c>
      <c r="H21" s="469">
        <f>F21/$F$22*100</f>
        <v>17.831603869194744</v>
      </c>
    </row>
    <row r="22" spans="1:8" ht="20.25" customHeight="1" thickBot="1">
      <c r="A22" s="191"/>
      <c r="B22" s="261" t="s">
        <v>425</v>
      </c>
      <c r="C22" s="262">
        <f>SUM(C20:C21)</f>
        <v>14006653.87</v>
      </c>
      <c r="D22" s="262">
        <f>SUM(D20:D21)</f>
        <v>99761.5</v>
      </c>
      <c r="E22" s="262">
        <f>SUM(E20:E21)</f>
        <v>14106415.37</v>
      </c>
      <c r="F22" s="262">
        <f>SUM(F20:F21)</f>
        <v>6078704.629999999</v>
      </c>
      <c r="G22" s="470">
        <f>F22/E22*100</f>
        <v>43.09177399474236</v>
      </c>
      <c r="H22" s="471">
        <f>F22/$F$22*100</f>
        <v>100</v>
      </c>
    </row>
    <row r="23" spans="1:8" ht="13.5" thickTop="1">
      <c r="A23" s="193"/>
      <c r="B23" s="193"/>
      <c r="C23" s="193"/>
      <c r="D23" s="193"/>
      <c r="E23" s="193"/>
      <c r="F23" s="193"/>
      <c r="G23" s="193"/>
      <c r="H23" s="193"/>
    </row>
    <row r="24" spans="1:8" ht="12.75">
      <c r="A24" s="193"/>
      <c r="B24" s="193"/>
      <c r="C24" s="193"/>
      <c r="D24" s="193"/>
      <c r="E24" s="193"/>
      <c r="F24" s="193"/>
      <c r="G24" s="193"/>
      <c r="H24" s="193"/>
    </row>
    <row r="25" spans="1:8" ht="12.75">
      <c r="A25" s="193"/>
      <c r="B25" s="260"/>
      <c r="C25" s="511"/>
      <c r="D25" s="511"/>
      <c r="E25" s="511"/>
      <c r="F25" s="511"/>
      <c r="G25" s="511"/>
      <c r="H25" s="193"/>
    </row>
    <row r="26" spans="1:8" ht="12.75">
      <c r="A26" s="193"/>
      <c r="B26" s="281"/>
      <c r="C26" s="511"/>
      <c r="D26" s="511"/>
      <c r="E26" s="511"/>
      <c r="F26" s="511"/>
      <c r="G26" s="511"/>
      <c r="H26" s="193"/>
    </row>
    <row r="27" spans="1:8" ht="12.75">
      <c r="A27" s="193"/>
      <c r="B27" s="260"/>
      <c r="C27" s="260"/>
      <c r="D27" s="260"/>
      <c r="E27" s="260"/>
      <c r="F27" s="260"/>
      <c r="G27" s="260"/>
      <c r="H27" s="193"/>
    </row>
    <row r="28" spans="2:6" ht="12.75">
      <c r="B28" s="512"/>
      <c r="C28" s="1"/>
      <c r="E28" s="260"/>
      <c r="F28" s="1"/>
    </row>
    <row r="29" spans="2:6" ht="12.75">
      <c r="B29" s="512"/>
      <c r="C29" s="62"/>
      <c r="E29" s="62"/>
      <c r="F29" s="62"/>
    </row>
  </sheetData>
  <sheetProtection/>
  <mergeCells count="3">
    <mergeCell ref="A1:H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korisnik</cp:lastModifiedBy>
  <cp:lastPrinted>2018-07-31T07:16:20Z</cp:lastPrinted>
  <dcterms:created xsi:type="dcterms:W3CDTF">2006-03-15T13:27:57Z</dcterms:created>
  <dcterms:modified xsi:type="dcterms:W3CDTF">2018-10-25T09:07:03Z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6170</vt:i4>
  </property>
</Properties>
</file>