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activeTab="0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im.'!$A$1:$I$102</definedName>
    <definedName name="_xlnm.Print_Area" localSheetId="3">'B.rash. i izdaci za nef. im.'!$A$1:$N$61</definedName>
    <definedName name="_xlnm.Print_Area" localSheetId="4">'Finansiranje'!$A$1:$E$38</definedName>
    <definedName name="_xlnm.Print_Area" localSheetId="6">'Funkc. kl.'!$A$1:$H$30</definedName>
    <definedName name="_xlnm.Print_Area" localSheetId="1">'opsti dio'!$A$1:$G$67</definedName>
    <definedName name="_xlnm.Print_Area" localSheetId="5">'Org'!$A$1:$L$503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<sst xmlns="http://schemas.openxmlformats.org/spreadsheetml/2006/main" count="1092" uniqueCount="572">
  <si>
    <t>Трошкови репрезентације</t>
  </si>
  <si>
    <t>Помоћи појединцима</t>
  </si>
  <si>
    <t>Набавка опреме</t>
  </si>
  <si>
    <t>Накнаде трошкова запослених</t>
  </si>
  <si>
    <t>Поврат по рјешењима контролних органа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</si>
  <si>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</si>
  <si>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</si>
  <si>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</si>
  <si>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</si>
  <si>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</si>
  <si>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</si>
  <si>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промет производа</t>
  </si>
  <si>
    <t>Порез на промет услуга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</si>
  <si>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</si>
  <si>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</si>
  <si>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</si>
  <si>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</si>
  <si>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</si>
  <si>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</si>
  <si>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</si>
  <si>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</si>
  <si>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</si>
  <si>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</si>
  <si>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>Приходи од пружања јавних услуга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</si>
  <si>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</si>
  <si>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</si>
  <si>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</si>
  <si>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</si>
  <si>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</si>
  <si>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</si>
  <si>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</si>
  <si>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Бруто плате запослених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</si>
  <si>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</si>
  <si>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</si>
  <si>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</si>
  <si>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</si>
  <si>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</si>
  <si>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</si>
  <si>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</si>
  <si>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</si>
  <si>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</si>
  <si>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</si>
  <si>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</si>
  <si>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</si>
  <si>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</si>
  <si>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</si>
  <si>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</si>
  <si>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</si>
  <si>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</si>
  <si>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</si>
  <si>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</si>
  <si>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</si>
  <si>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</si>
  <si>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</si>
  <si>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</si>
  <si>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</si>
  <si>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</si>
  <si>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</si>
  <si>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</si>
  <si>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</si>
  <si>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</si>
  <si>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</si>
  <si>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Набавка грађевинских објеката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</si>
  <si>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</si>
  <si>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</si>
  <si>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</si>
  <si>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</si>
  <si>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</si>
  <si>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</si>
  <si>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</si>
  <si>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</si>
  <si>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</si>
  <si>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</si>
  <si>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</si>
  <si>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</si>
  <si>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</si>
  <si>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</si>
  <si>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</si>
  <si>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</si>
  <si>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</si>
  <si>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</si>
  <si>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</si>
  <si>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</si>
  <si>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</si>
  <si>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</si>
  <si>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</si>
  <si>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</si>
  <si>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</si>
  <si>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</si>
  <si>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</si>
  <si>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</si>
  <si>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</si>
  <si>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</si>
  <si>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</si>
  <si>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</si>
  <si>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</si>
  <si>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</si>
  <si>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</si>
  <si>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Манифестације поводом обиљежавања Светог Саве (Светосавски бал и школска слава)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</si>
  <si>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</si>
  <si>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</si>
  <si>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</si>
  <si>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</si>
  <si>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</si>
  <si>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Трошкови обештећења по судским пресудама и трошкови поступка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</si>
  <si>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</si>
  <si>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</si>
  <si>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</si>
  <si>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</si>
  <si>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</si>
  <si>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Зимско одржавање лок. путева, улица, тротоара, тргова и др.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</si>
  <si>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</si>
  <si>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</si>
  <si>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</si>
  <si>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</si>
  <si>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</si>
  <si>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</si>
  <si>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</si>
  <si>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</si>
  <si>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</si>
  <si>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</si>
  <si>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 xml:space="preserve">% учешћа 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</si>
  <si>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општу управу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00750130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</si>
  <si>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финансије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00750140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</si>
  <si>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локални економски развој и
друштвене дјелатности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00750150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</si>
  <si>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просторно уређење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00750160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</si>
  <si>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стамбено- комуналне 
послове и инвестиције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00750170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</si>
  <si>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инспекцијске послове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 xml:space="preserve">  Број: 00750220</t>
    </r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</si>
  <si>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</si>
  <si>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</si>
  <si>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</si>
  <si>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3</t>
  </si>
  <si>
    <t>Средства за мјере превентивне здравствене заштите животиња</t>
  </si>
  <si>
    <t>% 
учешћа</t>
  </si>
  <si>
    <t>Камата на  кредит од 5.000.000,00 КМ</t>
  </si>
  <si>
    <t>Камата на кредит од 4.000.000,00 КМ</t>
  </si>
  <si>
    <t>Камата на  кредит од 500.000,00 КМ</t>
  </si>
  <si>
    <t>Камата на кредит од 3.000.000,00 КМ (ИРБ)</t>
  </si>
  <si>
    <t>Отплата дуга по кредиту од 3.000.000,00 КМ (ИРБ)</t>
  </si>
  <si>
    <t>Отплата дуга по кредиту од 500.000,00 КМ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</si>
  <si>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</si>
  <si>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</si>
  <si>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</si>
  <si>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</si>
  <si>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Бруто накнаде трошкова запослених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</si>
  <si>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</si>
  <si>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</si>
  <si>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</si>
  <si>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</si>
  <si>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</si>
  <si>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</si>
  <si>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</si>
  <si>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</si>
  <si>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</si>
  <si>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</si>
  <si>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</si>
  <si>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</si>
  <si>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</si>
  <si>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</si>
  <si>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</si>
  <si>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</si>
  <si>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</si>
  <si>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</si>
  <si>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</si>
  <si>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</si>
  <si>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</si>
  <si>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</si>
  <si>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</si>
  <si>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</si>
  <si>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</si>
  <si>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</si>
  <si>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</si>
  <si>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</si>
  <si>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</si>
  <si>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</si>
  <si>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</si>
  <si>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</si>
  <si>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</si>
  <si>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</si>
  <si>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</si>
  <si>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</si>
  <si>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</si>
  <si>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</si>
  <si>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</si>
  <si>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</si>
  <si>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</si>
  <si>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</si>
  <si>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</si>
  <si>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</si>
  <si>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</si>
  <si>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</si>
  <si>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</si>
  <si>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</si>
  <si>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</si>
  <si>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</si>
  <si>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</si>
  <si>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</si>
  <si>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</si>
  <si>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Трошкови одржавања лок. путне мреже (набавка, превоз и уградња посипног материјала, гредер)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</si>
  <si>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</si>
  <si>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</si>
  <si>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</si>
  <si>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</si>
  <si>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</si>
  <si>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r>
      <t>Назив и број потрошачке јединице:</t>
    </r>
    <r>
      <rPr>
        <b/>
        <sz val="9"/>
        <rFont val="Arial"/>
        <family val="2"/>
      </rPr>
      <t xml:space="preserve">
Трезор општине Прњавор број:  9999999</t>
    </r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</si>
  <si>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</si>
  <si>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</si>
  <si>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</si>
  <si>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</si>
  <si>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</si>
  <si>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</si>
  <si>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</si>
  <si>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0734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</si>
  <si>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</si>
  <si>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</si>
  <si>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</si>
  <si>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</si>
  <si>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Примици од продаје пословних простора и гаража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</si>
  <si>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</si>
  <si>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</si>
  <si>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Средства за пројекат "Дневна брига за старе"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</si>
  <si>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</si>
  <si>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</si>
  <si>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</si>
  <si>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</si>
  <si>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</si>
  <si>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</si>
  <si>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</si>
  <si>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</si>
  <si>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</si>
  <si>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</si>
  <si>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</si>
  <si>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</si>
  <si>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</si>
  <si>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</si>
  <si>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Подкат-
егорија</t>
  </si>
  <si>
    <t>О П И С</t>
  </si>
  <si>
    <t>Плакете, повеље, награде и признања општине</t>
  </si>
  <si>
    <t>Трошкови чишћења улица, тротоара и зелeних површина са одвозом прикупљеног отпада, трошкови прања улица и тротоара, кошења зелених површина са одвозом покошене траве, шишања живих ограда са одвозом прикупљеног отпада и ванредни комунални послови по наруџби (сјечење растиња, одржавање дрвореда и сл.)</t>
  </si>
  <si>
    <t>Остали комунални послови по наруџби (саднице,  канали, уређење зелених површина, објекти на путу, чишћење сливника, одржавање јавних извора и др.)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</si>
  <si>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пољопривреду, 
водопривреду и шумарство
Број: 00750250</t>
    </r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</si>
  <si>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</si>
  <si>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</si>
  <si>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</si>
  <si>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</si>
  <si>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</si>
  <si>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r>
      <t xml:space="preserve">Назив и број потрошачке јединице:
</t>
    </r>
    <r>
      <rPr>
        <b/>
        <sz val="9"/>
        <rFont val="Arial"/>
        <family val="2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</si>
  <si>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9"/>
        <rFont val="Arial"/>
        <family val="2"/>
      </rPr>
      <t>Кабинет начелника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00750120</t>
    </r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</si>
  <si>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</si>
  <si>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</si>
  <si>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</si>
  <si>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</si>
  <si>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</si>
  <si>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</si>
  <si>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</si>
  <si>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</si>
  <si>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</si>
  <si>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</si>
  <si>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</si>
  <si>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</si>
  <si>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</si>
  <si>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</si>
  <si>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</si>
  <si>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</si>
  <si>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</si>
  <si>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</si>
  <si>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</si>
  <si>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</si>
  <si>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Комунална такса за коришћење простора за паркирање моторних, друмских и прикључних возила на уређеним и обиљеженим мјестима која је за то одредила скупштина општине</t>
  </si>
  <si>
    <t>Издаци за прибављање земљишта (потпуна експропријација)</t>
  </si>
  <si>
    <r>
      <t xml:space="preserve">Средства за једнократне помоћи - </t>
    </r>
    <r>
      <rPr>
        <b/>
        <sz val="9"/>
        <rFont val="Arial"/>
        <family val="2"/>
      </rPr>
      <t>буџетска резерва</t>
    </r>
  </si>
  <si>
    <r>
      <t xml:space="preserve">ЈП " Радио Прњавор " - </t>
    </r>
    <r>
      <rPr>
        <b/>
        <sz val="9"/>
        <rFont val="Arial"/>
        <family val="2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</si>
  <si>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</si>
  <si>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националних мањина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</si>
  <si>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9"/>
        <rFont val="Arial"/>
        <family val="2"/>
      </rPr>
      <t>буџетска резерва</t>
    </r>
  </si>
  <si>
    <r>
      <t xml:space="preserve">Помоћ основним школама - </t>
    </r>
    <r>
      <rPr>
        <b/>
        <sz val="9"/>
        <rFont val="Arial"/>
        <family val="2"/>
      </rPr>
      <t>буџетска резерва</t>
    </r>
  </si>
  <si>
    <r>
      <t xml:space="preserve">Трошкови обиљежавања значајних датума у мјесним заједницама - </t>
    </r>
    <r>
      <rPr>
        <b/>
        <sz val="9"/>
        <rFont val="Arial"/>
        <family val="2"/>
      </rPr>
      <t>буџетска резерва</t>
    </r>
  </si>
  <si>
    <t>Приходи од давања у закуп општинских пословних простора</t>
  </si>
  <si>
    <t>Трошкови закупнине паркинг простора</t>
  </si>
  <si>
    <t>Трошкови провизије за електронску наплату паркинга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</si>
  <si>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</si>
  <si>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</si>
  <si>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</si>
  <si>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Накнаде за воде - посебне водне накнаде 
(722442-722448, 722457, 722463, 722464, 722469)</t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</si>
  <si>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средњих школа "Иво Андрић" Прњавор
Број: 08150027</t>
    </r>
  </si>
  <si>
    <t>Камата на кредит од 2.500.000,00 КМ</t>
  </si>
  <si>
    <t>Отплата дуга по кредиту од 2.500.000,00 КМ</t>
  </si>
  <si>
    <t>ЈУ Центар средњих школа "Иво Андрић" Прњавор</t>
  </si>
  <si>
    <t>Средства за обиљежавање значајних датума у области борачко-инвалидске заштите</t>
  </si>
  <si>
    <t>Средства за остале трошкове обиљежавања значајних датума (за трошкове вијенаца, цвијећа, свијећа и др.)</t>
  </si>
  <si>
    <t>Изградња и реконструкција објеката водоснабдијевања (базени, цјевоводи, изворишта, чесме и др.) из намјенских средстава за воде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</si>
  <si>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</si>
  <si>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</si>
  <si>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</si>
  <si>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Трошкови непотпуне експропријације, процјене, вјештачења, накнаде штета и слично</t>
  </si>
  <si>
    <t>ЈУ Гимназија Прњавор</t>
  </si>
  <si>
    <t>Остали непоменути расходи мјесних заједница</t>
  </si>
  <si>
    <t>Средства за подстицај и развој спорта</t>
  </si>
  <si>
    <r>
      <t xml:space="preserve">Средства за подстицај и развој спорта - </t>
    </r>
    <r>
      <rPr>
        <b/>
        <sz val="9"/>
        <rFont val="Arial"/>
        <family val="2"/>
      </rPr>
      <t>буџетска резерва</t>
    </r>
  </si>
  <si>
    <t>Покровитељство општине за реализацију научних, културних и спортских манифестација од значаја за општину Прњавор</t>
  </si>
  <si>
    <t>Трошкови одржавања јавне расвјете
(у граду и мјесним заједницама)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</si>
  <si>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</si>
  <si>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</si>
  <si>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</si>
  <si>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r>
      <t>Назив и број потрошачке јединице:</t>
    </r>
    <r>
      <rPr>
        <b/>
        <sz val="9"/>
        <rFont val="Arial"/>
        <family val="2"/>
      </rPr>
      <t xml:space="preserve">
Остала буџетска потрошња 
Број:  00750190</t>
    </r>
  </si>
  <si>
    <t>Мјере за побољшање демографске ситуације (вантјелесна оплодња и сл.)</t>
  </si>
  <si>
    <t>Изградња водопривредних објеката-брана, мостова, воденица и сл. из намјенских средстава  за воде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</si>
  <si>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</si>
  <si>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</si>
  <si>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</si>
  <si>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</si>
  <si>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</si>
  <si>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</si>
  <si>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</si>
  <si>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</si>
  <si>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</si>
  <si>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</si>
  <si>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</si>
  <si>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</si>
  <si>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</si>
  <si>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</si>
  <si>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 ПРИМИЦИ ОД КРАТКОРОЧНОГ И ДУГОРОЧНОГ ЗАДУЖИВАЊА</t>
  </si>
  <si>
    <t>Примици од краткорочног и дугорочног задуживања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</si>
  <si>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</si>
  <si>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</si>
  <si>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</si>
  <si>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</si>
  <si>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</si>
  <si>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</si>
  <si>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r>
      <t xml:space="preserve">Назив и број потрошачке јединице:
</t>
    </r>
    <r>
      <rPr>
        <b/>
        <sz val="9"/>
        <rFont val="Arial"/>
        <family val="2"/>
      </rPr>
      <t xml:space="preserve">Територијална ватрогасна јединица Прњавор
Број: 00750125 </t>
    </r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</si>
  <si>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</si>
  <si>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</si>
  <si>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</si>
  <si>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</si>
  <si>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</si>
  <si>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t>Грантови у земљи - капитални грантови</t>
  </si>
  <si>
    <t xml:space="preserve">             Предлагач: Нaчелник општине</t>
  </si>
  <si>
    <t xml:space="preserve">                     Обрађивач: Одјељење за финансије</t>
  </si>
  <si>
    <t xml:space="preserve">Допринос солидарности на терет послодавца </t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</si>
  <si>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ЈУ Народна библиотека Прњавор
Број: 08180068</t>
    </r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</si>
  <si>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</si>
  <si>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</si>
  <si>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</si>
  <si>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</si>
  <si>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тражење несталих бораца и цивила жртава рата са подручја општине Прњавор</t>
  </si>
  <si>
    <r>
      <t xml:space="preserve">Расходи за стручне услуге (извршење рјешења,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мониторинг загађујућих материја у животној средини)</t>
    </r>
  </si>
  <si>
    <t xml:space="preserve">Средства за имплементацију и суфинансирање пројеката предвиђених Стратегијом развоја општине Прњавор 2012-2020. година </t>
  </si>
  <si>
    <t>Унапређење учења мањинских језика на подручју општине Прњавор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</si>
  <si>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</si>
  <si>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</si>
  <si>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</si>
  <si>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</si>
  <si>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5</t>
  </si>
  <si>
    <r>
      <t xml:space="preserve">Борачка организација општине Прњавор - </t>
    </r>
    <r>
      <rPr>
        <b/>
        <sz val="9"/>
        <rFont val="Arial"/>
        <family val="2"/>
      </rPr>
      <t>буџетска резерва</t>
    </r>
  </si>
  <si>
    <r>
      <t xml:space="preserve">Расходи за стручне услуге Центра за културу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</si>
  <si>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</si>
  <si>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</si>
  <si>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</si>
  <si>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</si>
  <si>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</si>
  <si>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</si>
  <si>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</si>
  <si>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r>
      <t xml:space="preserve">Остали непоменути расходи Општинске управе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</si>
  <si>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</t>
  </si>
  <si>
    <t>Издаци за залихе ситног инвентара, одјеће и обуће</t>
  </si>
  <si>
    <t>Средства за обављање послова из области цивилне заштите</t>
  </si>
  <si>
    <t>Помоћ у реализацији пројеката заједница етажних власника</t>
  </si>
  <si>
    <t>Средства за изградњу споменика погинулим борцима и израду главних пројеката</t>
  </si>
  <si>
    <t>0422</t>
  </si>
  <si>
    <t>Манифестације - изложбе из области пољопривреде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</si>
  <si>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</si>
  <si>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</si>
  <si>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Уређење нове локације за бувљу пијацу</t>
  </si>
  <si>
    <t>Плакете, повеље, награде и признања Начелника општине</t>
  </si>
  <si>
    <t>170-03 Програм капиталних инвестиција</t>
  </si>
  <si>
    <t>Израда шумскопривредног основа</t>
  </si>
  <si>
    <t>*******</t>
  </si>
  <si>
    <t>Примици од зајмова узетих од банака</t>
  </si>
  <si>
    <t>Издаци за отплату неизмирених обавеза из ранијих година</t>
  </si>
  <si>
    <t>Инвестиционо одржавање опреме</t>
  </si>
  <si>
    <t>Издаци за отплату осталих дугова</t>
  </si>
  <si>
    <t>Текући грантови из земље</t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</si>
  <si>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Гимназија Прњавор
Број: 08150026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</si>
  <si>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</si>
  <si>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за културу Прњавор
Број: 08180011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</si>
  <si>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Дјечији вртић " Наша радост" Прњавор
Број: 00750400</t>
    </r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</si>
  <si>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</si>
  <si>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</si>
  <si>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r>
      <t xml:space="preserve">Финансирање Црвеног крста - </t>
    </r>
    <r>
      <rPr>
        <b/>
        <sz val="9"/>
        <rFont val="Arial"/>
        <family val="2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</si>
  <si>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</si>
  <si>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поводом манифестација за празничне дане општине - </t>
    </r>
    <r>
      <rPr>
        <b/>
        <sz val="9"/>
        <rFont val="Arial"/>
        <family val="2"/>
      </rPr>
      <t>буџетска резерва</t>
    </r>
  </si>
  <si>
    <t>Неутрошене примљене донације од Савјета Европе за пројекат "Унапређење учења мањинских језика на подручју општине Прњавор"</t>
  </si>
  <si>
    <t>Трошкови сервисирања зајмова примљених у земљи</t>
  </si>
  <si>
    <t>Капиталне инвестиције из домаћих прихода</t>
  </si>
  <si>
    <t>Капиталне инвестиције из кредитних средстава</t>
  </si>
  <si>
    <t>Унапређење учења мањинских језика на подручју општине Прњавор из неутрошене примљене донације од Савјета Европе</t>
  </si>
  <si>
    <t>Модернизација локалних путева, изградња објеката и јавне расвјете из кредитних средстава</t>
  </si>
  <si>
    <t>Ергела Вучијак Прњавор</t>
  </si>
  <si>
    <t>6(5/4*100)</t>
  </si>
  <si>
    <t>4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</si>
  <si>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</si>
  <si>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</si>
  <si>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</si>
  <si>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Трошкови провођења избора за чланове Савјета мјесних заједница</t>
  </si>
  <si>
    <t>Камата на кредит од 300.000,00 КМ</t>
  </si>
  <si>
    <t>Отплата дуга по кредиту од 300.000,00 КМ</t>
  </si>
  <si>
    <t>Предузимање превентивних активности заштите и спасавања/цивилне заштите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</si>
  <si>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</si>
  <si>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</si>
  <si>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</si>
  <si>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Текуће одржавање путева на руралним подручјима општине са којих потичу дрвни сортименти</t>
  </si>
  <si>
    <r>
      <t>Средства за имплементацију и суфинансирање пројеката предвиђених Стратегијом развоја општине Прњавор 2012-2020. година -</t>
    </r>
    <r>
      <rPr>
        <b/>
        <sz val="9"/>
        <rFont val="Arial"/>
        <family val="2"/>
      </rPr>
      <t xml:space="preserve"> буџетска резерва</t>
    </r>
  </si>
  <si>
    <r>
      <t xml:space="preserve">Трошкови репрезентације- </t>
    </r>
    <r>
      <rPr>
        <b/>
        <sz val="9"/>
        <rFont val="Arial"/>
        <family val="2"/>
      </rPr>
      <t>буџетска резерва</t>
    </r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</si>
  <si>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</si>
  <si>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</si>
  <si>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</si>
  <si>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</si>
  <si>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</si>
  <si>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</si>
  <si>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</si>
  <si>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</si>
  <si>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</si>
  <si>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</si>
  <si>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</si>
  <si>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</si>
  <si>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</si>
  <si>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</si>
  <si>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</si>
  <si>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</si>
  <si>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И) РАСПОДЈЕЛА СУФИЦИТА ИЗ РАНИЈИХ ПЕРИОДА</t>
  </si>
  <si>
    <t>Трансфери између  различитих јединица 
власти</t>
  </si>
  <si>
    <t>Расходи за бруто плате запослених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</si>
  <si>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</si>
  <si>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</si>
  <si>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</si>
  <si>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</si>
  <si>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 xml:space="preserve"> Изградња и реконструкција инфраструктуре и других објеката на руралним подручјима општине са којих потичу дрвни сортименти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</si>
  <si>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</si>
  <si>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</si>
  <si>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</si>
  <si>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</si>
  <si>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</si>
  <si>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</si>
  <si>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</si>
  <si>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</si>
  <si>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</si>
  <si>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</si>
  <si>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Г) РАСПОДЈЕЛА СУФИЦИТА ИЗ РАНИЈИХ ПЕРИОДА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</si>
  <si>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</si>
  <si>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</si>
  <si>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</si>
  <si>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</si>
  <si>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Расходи по основу путовања и смјештаја Општинске управе</t>
  </si>
  <si>
    <t>Порези на имовину - порез на непокретности</t>
  </si>
  <si>
    <t>Приходи од пореза на додату вриједност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</si>
  <si>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</si>
  <si>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</si>
  <si>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</si>
  <si>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Помоћ од Министарства просвјете и културе РС Дјечијем вртићу "Наша радост" за програм припреме дјеце за полазак у школу</t>
  </si>
  <si>
    <t>Расходи по основу закупа објекта "Школе за основно музичко образовање" Прњавор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</si>
  <si>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</si>
  <si>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</si>
  <si>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</si>
  <si>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</si>
  <si>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</si>
  <si>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8(7/6*100)</t>
  </si>
  <si>
    <t>7(6/5*100)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</si>
  <si>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</si>
  <si>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</si>
  <si>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Остали непоменути расходи - припрема дјеце за полазак у школу из дозначене помоћи Министарства просвјете и културе РС</t>
  </si>
  <si>
    <t>Остали непоменути расходи Општинске управе - средства Федералног министарства расељених особа и избјеглица на име реализовања Програма помоћи у обављању приправничког стажа</t>
  </si>
  <si>
    <r>
      <t xml:space="preserve">Плакете, повеље, награде и признања Начелника општине - </t>
    </r>
    <r>
      <rPr>
        <b/>
        <sz val="9"/>
        <rFont val="Arial"/>
        <family val="2"/>
      </rPr>
      <t>буџетска резерва</t>
    </r>
  </si>
  <si>
    <r>
      <t xml:space="preserve">Покровитељство општине за реализацију научних, културних и спортских манифестација од значаја за општину Прњавор - </t>
    </r>
    <r>
      <rPr>
        <b/>
        <sz val="9"/>
        <rFont val="Arial"/>
        <family val="2"/>
      </rPr>
      <t>буџетска резерва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</si>
  <si>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9"/>
        <rFont val="Arial"/>
        <family val="2"/>
      </rPr>
      <t>буџетска резерва</t>
    </r>
  </si>
  <si>
    <r>
      <t xml:space="preserve">Набавка опреме - </t>
    </r>
    <r>
      <rPr>
        <b/>
        <sz val="9"/>
        <rFont val="Arial"/>
        <family val="2"/>
      </rPr>
      <t>буџетска резерва</t>
    </r>
  </si>
  <si>
    <t xml:space="preserve"> БУЏЕТ
ОПШТИНЕ ПРЊАВОР 
ЗА 2018. ГОДИНУ
</t>
  </si>
  <si>
    <t>ТАБЕЛА 2.   БУЏЕТ ОПШТИНЕ ПРЊАВОР ЗА 2018. ГОДИНЕ
-БУЏЕТСКИ ПРИХОДИ И ПРИМИЦИ ЗА НЕФИНАНСИЈСКУ ИМОВИНУ</t>
  </si>
  <si>
    <t>ТАБЕЛА 1. БУЏЕТ ОПШТИНЕ ПРЊАВОР ЗА 2018. ГОДИНУ 
- ОПШТИ ДИО</t>
  </si>
  <si>
    <t xml:space="preserve">  ТАБЕЛА 3.  БУЏЕТ ОПШТИНЕ ПРЊАВОР ЗА 2018. ГОДИНУ
-БУЏЕТСКИ РАСХОДИ И ИЗДАЦИ ЗА НЕФИНАНСИЈСКУ ИМОВИНУ        </t>
  </si>
  <si>
    <t>ТАБЕЛА 4.  БУЏЕТ ОПШТИНЕ ПРЊАВОР ЗА 2018. ГОДИНУ
- ФИНАНСИРАЊЕ</t>
  </si>
  <si>
    <t xml:space="preserve"> ТАБЕЛА 5.  БУЏЕТ ОПШТИНЕ ПРЊАВОР ЗА 2018. ГОДИНУ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</si>
  <si>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 ТАБЕЛА 6.  БУЏЕТ ОПШТИНЕ ПРЊАВОР ЗА 2018. ГОДИНУ
- ФУНКЦИОНАЛНА КЛАСИФИКАЦИЈА </t>
  </si>
  <si>
    <t>Расходи по основу судских рјешења</t>
  </si>
  <si>
    <t>Трансфери јединицама локалне самоуправе</t>
  </si>
  <si>
    <t>Отплата дуга по кредиту од 5.000.000,00 КМ</t>
  </si>
  <si>
    <t>Отплата дуга по кредиту од 4.000.000,00 КМ</t>
  </si>
  <si>
    <t>Издаци за отплату главнице зајмова примљених из иностранства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</si>
  <si>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</si>
  <si>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</si>
  <si>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</si>
  <si>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>Издаци за отплату главнице примљених зајмова из иностранства</t>
  </si>
  <si>
    <t xml:space="preserve">Издаци за отплату главнице примљених зајмова у земљи  </t>
  </si>
  <si>
    <t xml:space="preserve">Остали издаци из трансакција између или унутар јединица власти </t>
  </si>
  <si>
    <r>
      <t xml:space="preserve">Назив и број потрошачке јединице:
</t>
    </r>
    <r>
      <rPr>
        <b/>
        <sz val="9"/>
        <rFont val="Arial"/>
        <family val="2"/>
      </rPr>
      <t>ЈУ Музичка школа "Константин Бабић " Прњавор
Број: 08400005</t>
    </r>
  </si>
  <si>
    <t>411000</t>
  </si>
  <si>
    <t>412000</t>
  </si>
  <si>
    <t>Укупни расходи за потрошачку
 јединицу бр.  08400005</t>
  </si>
  <si>
    <r>
      <t xml:space="preserve">Удружење пензионера - </t>
    </r>
    <r>
      <rPr>
        <b/>
        <sz val="9"/>
        <rFont val="Arial"/>
        <family val="2"/>
      </rPr>
      <t>буџетска резерва</t>
    </r>
  </si>
  <si>
    <r>
      <t>Удружење ратних војних заробљеника "Вијенац" Возућа, и остали -</t>
    </r>
    <r>
      <rPr>
        <b/>
        <sz val="9"/>
        <rFont val="Arial"/>
        <family val="2"/>
      </rPr>
      <t xml:space="preserve"> буџетска резерва</t>
    </r>
  </si>
  <si>
    <t>ЈУ Музичка школа "Константин Бабић" Прњавор</t>
  </si>
  <si>
    <t>Грант ЈУ Центар средњих школа "Иво Андрић" за пројекат "Предузећа за вјежбу"</t>
  </si>
  <si>
    <t>Грант Федералног министарства расељених особа и избјеглица Општинској управи за реализацију "Програма помоћи у обављању приправничког стажа"</t>
  </si>
  <si>
    <t>6(5/3*100)</t>
  </si>
  <si>
    <t>7(6/4*100)</t>
  </si>
  <si>
    <t>8(7/5*100)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</si>
  <si>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</si>
  <si>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</si>
  <si>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</si>
  <si>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</si>
  <si>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</si>
  <si>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Остали примици (наплата јавних прихода из претходне или ранијих година по  записницима Пореске управе)</t>
  </si>
  <si>
    <t>Трансфери од ентитета  (поравнање јавних прихода по записницима Пореске управе)</t>
  </si>
  <si>
    <t>Назив и број потрошачке јединице:
Одсјек за јавне  набавке, правна питања и прописе
Број: 0075_______</t>
  </si>
  <si>
    <t>Укупни расходи за потрошачку
 јединицу бр.  0075_______</t>
  </si>
  <si>
    <t>419000</t>
  </si>
  <si>
    <t>513000</t>
  </si>
  <si>
    <t>Трошкови обештећења по судским  пресудама и трошкови поступка</t>
  </si>
  <si>
    <t>Трошкови непотпуне експропријације,  процјене, вјештачења, накнаде штета и слично</t>
  </si>
  <si>
    <t>Трошкови обраде кредитне документације за примљене зајмове (7.000.000,00 КМ)</t>
  </si>
  <si>
    <t>Трошкови интеркаларне камате на примљени зајам (7.000.000,00 КМ)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</si>
  <si>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</si>
  <si>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</si>
  <si>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</si>
  <si>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</si>
  <si>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Процјена извршења 
за 2017. годину</t>
  </si>
  <si>
    <t>714111-714311</t>
  </si>
  <si>
    <t>Буџет за
 2017. годину</t>
  </si>
  <si>
    <t>Процјена извршења за 2017. годину</t>
  </si>
  <si>
    <t>Буџет
за 2018. годину</t>
  </si>
  <si>
    <t>Буџет за 
2018. годину</t>
  </si>
  <si>
    <t xml:space="preserve">Буџет за 
2017. годину </t>
  </si>
  <si>
    <t>Буџет за
2018. годину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</si>
  <si>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</si>
  <si>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</si>
  <si>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Приходи општинских органа управе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</si>
  <si>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</si>
  <si>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</si>
  <si>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</si>
  <si>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</si>
  <si>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Грант Фонда за заштиту животне средине и енергетску ефикасност РС за Колектор отпадних и оборинских вода општине Прњавор</t>
  </si>
  <si>
    <r>
      <t xml:space="preserve">Колектор отпадних и оборинских вода општине Прњавор -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средства Фонда за заштиту животне средине и енергетску ефикасност Републике Српске</t>
    </r>
  </si>
  <si>
    <t>Процјена извршења
 за  2017. годину</t>
  </si>
  <si>
    <t>Примици по основу пореза на додату вриједност</t>
  </si>
  <si>
    <t xml:space="preserve">Процјена извршења
 за 2017. годину 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</si>
  <si>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</si>
  <si>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Буџет 
за  2017. годину</t>
  </si>
  <si>
    <t>Набавка опреме из донаторских средстава за пројекат "Предузећа за вјежбу"</t>
  </si>
  <si>
    <t>Процјена извршења
 за 2017. годину</t>
  </si>
  <si>
    <t>Буџет за 
2017. годину</t>
  </si>
  <si>
    <t>Грант Савјета родитеља ЈУ Дјечији вртић "Наша радост" за пројекат Укијева радионица (набавка дидактичког материјала)</t>
  </si>
  <si>
    <t>Грант Савјета родитеља ЈУ Дјечији вртић "Наша радост" за набавку посуђа за кухињу вртића</t>
  </si>
  <si>
    <t>Трансфери од осталих јединица власти</t>
  </si>
  <si>
    <r>
      <t xml:space="preserve">Средства за одржавање Фестивала националних мањина "Мала Европа" Прњавор - </t>
    </r>
    <r>
      <rPr>
        <b/>
        <sz val="9"/>
        <rFont val="Arial"/>
        <family val="2"/>
      </rPr>
      <t>буџетска резерва</t>
    </r>
  </si>
  <si>
    <t>Изградња и реконструкција путева, улица и тротора - из трансфера Министарства финансија РС</t>
  </si>
  <si>
    <t>Набавка дидактичког материјала по пројекту  "Укијева радионица" - из гранта Савјета родитеља</t>
  </si>
  <si>
    <t>Набавка посуђа - из средстава Савјета родитеља</t>
  </si>
  <si>
    <t>Трансфер Министарства финансија РС  општини Прњавор за изградњу тротоара у градским улицамa</t>
  </si>
  <si>
    <t>Н А Ц Р Т</t>
  </si>
  <si>
    <t xml:space="preserve">      Прњавор, новембар 2017. гoдине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</si>
  <si>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</si>
  <si>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</si>
  <si>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</si>
  <si>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</si>
  <si>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</si>
  <si>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</si>
  <si>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</si>
  <si>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Изградња Музичке школе</t>
  </si>
  <si>
    <t>Грант КП,,Водовод" АД - набавка опреме</t>
  </si>
  <si>
    <r>
      <t xml:space="preserve">Назив и број потрошачке јединице:
</t>
    </r>
    <r>
      <rPr>
        <b/>
        <sz val="9"/>
        <rFont val="Arial"/>
        <family val="2"/>
      </rPr>
      <t>Одсјек за заједничке послове
Број: 00750240</t>
    </r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</si>
  <si>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</si>
  <si>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</si>
  <si>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борачко-инвалидску и цивилну заштиту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00750180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</si>
</sst>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"/>
    <numFmt numFmtId="179" formatCode="#,##0.00;[Red]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name val="Times"/>
      <family val="1"/>
    </font>
    <font>
      <b/>
      <sz val="11"/>
      <name val="Symbol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EF9F"/>
        <bgColor indexed="64"/>
      </patternFill>
    </fill>
    <fill>
      <patternFill patternType="solid">
        <fgColor rgb="FFB4E5FE"/>
        <bgColor indexed="64"/>
      </patternFill>
    </fill>
    <fill>
      <patternFill patternType="solid">
        <fgColor rgb="FFD2EFF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FFBD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10" xfId="0" applyFont="1" applyBorder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4" fillId="34" borderId="10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 wrapText="1"/>
    </xf>
    <xf numFmtId="4" fontId="12" fillId="34" borderId="13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5" fillId="0" borderId="18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" fontId="24" fillId="0" borderId="16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4" fontId="6" fillId="13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13" borderId="10" xfId="0" applyFont="1" applyFill="1" applyBorder="1" applyAlignment="1">
      <alignment vertical="center"/>
    </xf>
    <xf numFmtId="2" fontId="2" fillId="13" borderId="16" xfId="0" applyNumberFormat="1" applyFont="1" applyFill="1" applyBorder="1" applyAlignment="1">
      <alignment horizontal="right" vertical="center"/>
    </xf>
    <xf numFmtId="4" fontId="2" fillId="13" borderId="10" xfId="0" applyNumberFormat="1" applyFont="1" applyFill="1" applyBorder="1" applyAlignment="1">
      <alignment horizontal="right" vertical="center"/>
    </xf>
    <xf numFmtId="2" fontId="2" fillId="13" borderId="21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16" fillId="33" borderId="22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2" fillId="13" borderId="13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right" vertical="center"/>
    </xf>
    <xf numFmtId="4" fontId="8" fillId="33" borderId="24" xfId="0" applyNumberFormat="1" applyFont="1" applyFill="1" applyBorder="1" applyAlignment="1">
      <alignment horizontal="right" vertical="center"/>
    </xf>
    <xf numFmtId="4" fontId="13" fillId="0" borderId="25" xfId="0" applyNumberFormat="1" applyFont="1" applyFill="1" applyBorder="1" applyAlignment="1">
      <alignment horizontal="right" vertical="center"/>
    </xf>
    <xf numFmtId="2" fontId="8" fillId="35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right" vertical="center"/>
    </xf>
    <xf numFmtId="0" fontId="4" fillId="39" borderId="26" xfId="0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70" fillId="0" borderId="0" xfId="0" applyNumberFormat="1" applyFont="1" applyBorder="1" applyAlignment="1">
      <alignment horizontal="left" wrapText="1"/>
    </xf>
    <xf numFmtId="4" fontId="6" fillId="38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6" fillId="39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4" fontId="13" fillId="0" borderId="24" xfId="0" applyNumberFormat="1" applyFont="1" applyFill="1" applyBorder="1" applyAlignment="1">
      <alignment horizontal="right" vertical="center"/>
    </xf>
    <xf numFmtId="4" fontId="13" fillId="33" borderId="24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36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3" fillId="40" borderId="24" xfId="0" applyNumberFormat="1" applyFont="1" applyFill="1" applyBorder="1" applyAlignment="1">
      <alignment horizontal="right" vertical="center"/>
    </xf>
    <xf numFmtId="4" fontId="70" fillId="0" borderId="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4" fontId="23" fillId="13" borderId="13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6" fillId="13" borderId="16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3" fillId="0" borderId="16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4" borderId="1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23" fillId="13" borderId="13" xfId="0" applyFont="1" applyFill="1" applyBorder="1" applyAlignment="1">
      <alignment vertical="center" wrapText="1"/>
    </xf>
    <xf numFmtId="4" fontId="30" fillId="13" borderId="21" xfId="0" applyNumberFormat="1" applyFont="1" applyFill="1" applyBorder="1" applyAlignment="1">
      <alignment horizontal="right" vertical="center" wrapText="1"/>
    </xf>
    <xf numFmtId="4" fontId="8" fillId="35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6" fillId="33" borderId="22" xfId="0" applyNumberFormat="1" applyFont="1" applyFill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4" fontId="6" fillId="39" borderId="24" xfId="0" applyNumberFormat="1" applyFont="1" applyFill="1" applyBorder="1" applyAlignment="1">
      <alignment horizontal="right" vertical="center"/>
    </xf>
    <xf numFmtId="4" fontId="6" fillId="38" borderId="2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4" fontId="24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34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 wrapText="1"/>
    </xf>
    <xf numFmtId="4" fontId="2" fillId="39" borderId="24" xfId="0" applyNumberFormat="1" applyFont="1" applyFill="1" applyBorder="1" applyAlignment="1">
      <alignment horizontal="right" vertical="center"/>
    </xf>
    <xf numFmtId="4" fontId="8" fillId="0" borderId="24" xfId="0" applyNumberFormat="1" applyFont="1" applyFill="1" applyBorder="1" applyAlignment="1">
      <alignment vertical="center"/>
    </xf>
    <xf numFmtId="4" fontId="6" fillId="13" borderId="24" xfId="0" applyNumberFormat="1" applyFont="1" applyFill="1" applyBorder="1" applyAlignment="1">
      <alignment horizontal="right" vertical="center"/>
    </xf>
    <xf numFmtId="4" fontId="30" fillId="13" borderId="13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/>
    </xf>
    <xf numFmtId="4" fontId="13" fillId="35" borderId="24" xfId="0" applyNumberFormat="1" applyFont="1" applyFill="1" applyBorder="1" applyAlignment="1">
      <alignment horizontal="right" vertical="center" wrapText="1"/>
    </xf>
    <xf numFmtId="4" fontId="13" fillId="36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23" fillId="39" borderId="13" xfId="0" applyFont="1" applyFill="1" applyBorder="1" applyAlignment="1">
      <alignment horizontal="left" vertical="center" wrapText="1"/>
    </xf>
    <xf numFmtId="4" fontId="23" fillId="39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/>
    </xf>
    <xf numFmtId="4" fontId="8" fillId="40" borderId="10" xfId="0" applyNumberFormat="1" applyFont="1" applyFill="1" applyBorder="1" applyAlignment="1">
      <alignment horizontal="right" vertical="center"/>
    </xf>
    <xf numFmtId="4" fontId="8" fillId="40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4" fontId="2" fillId="39" borderId="10" xfId="0" applyNumberFormat="1" applyFont="1" applyFill="1" applyBorder="1" applyAlignment="1">
      <alignment horizontal="right" vertical="center"/>
    </xf>
    <xf numFmtId="0" fontId="2" fillId="38" borderId="10" xfId="0" applyFont="1" applyFill="1" applyBorder="1" applyAlignment="1">
      <alignment horizontal="left" vertical="center" wrapText="1"/>
    </xf>
    <xf numFmtId="4" fontId="2" fillId="38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" fontId="2" fillId="38" borderId="24" xfId="0" applyNumberFormat="1" applyFont="1" applyFill="1" applyBorder="1" applyAlignment="1">
      <alignment horizontal="right" vertical="center"/>
    </xf>
    <xf numFmtId="4" fontId="2" fillId="38" borderId="16" xfId="0" applyNumberFormat="1" applyFont="1" applyFill="1" applyBorder="1" applyAlignment="1">
      <alignment horizontal="right" vertical="center"/>
    </xf>
    <xf numFmtId="4" fontId="2" fillId="30" borderId="24" xfId="0" applyNumberFormat="1" applyFont="1" applyFill="1" applyBorder="1" applyAlignment="1">
      <alignment horizontal="right" vertical="center"/>
    </xf>
    <xf numFmtId="4" fontId="2" fillId="30" borderId="16" xfId="0" applyNumberFormat="1" applyFont="1" applyFill="1" applyBorder="1" applyAlignment="1">
      <alignment horizontal="right" vertical="center"/>
    </xf>
    <xf numFmtId="4" fontId="0" fillId="40" borderId="24" xfId="0" applyNumberFormat="1" applyFont="1" applyFill="1" applyBorder="1" applyAlignment="1">
      <alignment horizontal="right" vertical="center"/>
    </xf>
    <xf numFmtId="4" fontId="0" fillId="40" borderId="16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center" vertical="center"/>
    </xf>
    <xf numFmtId="4" fontId="6" fillId="40" borderId="10" xfId="0" applyNumberFormat="1" applyFont="1" applyFill="1" applyBorder="1" applyAlignment="1">
      <alignment horizontal="right" vertical="center"/>
    </xf>
    <xf numFmtId="4" fontId="6" fillId="40" borderId="16" xfId="0" applyNumberFormat="1" applyFont="1" applyFill="1" applyBorder="1" applyAlignment="1">
      <alignment horizontal="right" vertical="center"/>
    </xf>
    <xf numFmtId="4" fontId="8" fillId="40" borderId="16" xfId="0" applyNumberFormat="1" applyFont="1" applyFill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" fontId="2" fillId="13" borderId="13" xfId="0" applyNumberFormat="1" applyFont="1" applyFill="1" applyBorder="1" applyAlignment="1">
      <alignment horizontal="right" vertical="center"/>
    </xf>
    <xf numFmtId="4" fontId="2" fillId="41" borderId="10" xfId="0" applyNumberFormat="1" applyFont="1" applyFill="1" applyBorder="1" applyAlignment="1">
      <alignment horizontal="right" vertical="center"/>
    </xf>
    <xf numFmtId="4" fontId="2" fillId="42" borderId="10" xfId="0" applyNumberFormat="1" applyFont="1" applyFill="1" applyBorder="1" applyAlignment="1">
      <alignment horizontal="right" vertical="center"/>
    </xf>
    <xf numFmtId="4" fontId="2" fillId="43" borderId="10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2" fontId="0" fillId="40" borderId="16" xfId="0" applyNumberFormat="1" applyFont="1" applyFill="1" applyBorder="1" applyAlignment="1">
      <alignment horizontal="right" vertical="center"/>
    </xf>
    <xf numFmtId="4" fontId="8" fillId="35" borderId="16" xfId="0" applyNumberFormat="1" applyFont="1" applyFill="1" applyBorder="1" applyAlignment="1">
      <alignment horizontal="right" vertical="center"/>
    </xf>
    <xf numFmtId="2" fontId="8" fillId="35" borderId="16" xfId="0" applyNumberFormat="1" applyFont="1" applyFill="1" applyBorder="1" applyAlignment="1">
      <alignment horizontal="right" vertical="center"/>
    </xf>
    <xf numFmtId="4" fontId="16" fillId="33" borderId="28" xfId="0" applyNumberFormat="1" applyFont="1" applyFill="1" applyBorder="1" applyAlignment="1">
      <alignment horizontal="right" vertical="center"/>
    </xf>
    <xf numFmtId="2" fontId="8" fillId="40" borderId="24" xfId="0" applyNumberFormat="1" applyFont="1" applyFill="1" applyBorder="1" applyAlignment="1">
      <alignment horizontal="right" vertical="center"/>
    </xf>
    <xf numFmtId="4" fontId="13" fillId="40" borderId="10" xfId="0" applyNumberFormat="1" applyFont="1" applyFill="1" applyBorder="1" applyAlignment="1">
      <alignment horizontal="right" vertical="center"/>
    </xf>
    <xf numFmtId="2" fontId="8" fillId="40" borderId="16" xfId="0" applyNumberFormat="1" applyFont="1" applyFill="1" applyBorder="1" applyAlignment="1">
      <alignment horizontal="right" vertical="center"/>
    </xf>
    <xf numFmtId="2" fontId="8" fillId="38" borderId="16" xfId="0" applyNumberFormat="1" applyFont="1" applyFill="1" applyBorder="1" applyAlignment="1">
      <alignment horizontal="right" vertical="center"/>
    </xf>
    <xf numFmtId="4" fontId="13" fillId="38" borderId="24" xfId="0" applyNumberFormat="1" applyFont="1" applyFill="1" applyBorder="1" applyAlignment="1">
      <alignment horizontal="right" vertical="center"/>
    </xf>
    <xf numFmtId="2" fontId="8" fillId="38" borderId="24" xfId="0" applyNumberFormat="1" applyFont="1" applyFill="1" applyBorder="1" applyAlignment="1">
      <alignment horizontal="right" vertical="center"/>
    </xf>
    <xf numFmtId="4" fontId="8" fillId="38" borderId="16" xfId="0" applyNumberFormat="1" applyFont="1" applyFill="1" applyBorder="1" applyAlignment="1">
      <alignment horizontal="right" vertical="center"/>
    </xf>
    <xf numFmtId="4" fontId="14" fillId="39" borderId="24" xfId="0" applyNumberFormat="1" applyFont="1" applyFill="1" applyBorder="1" applyAlignment="1">
      <alignment horizontal="right" vertical="center"/>
    </xf>
    <xf numFmtId="2" fontId="6" fillId="39" borderId="24" xfId="0" applyNumberFormat="1" applyFont="1" applyFill="1" applyBorder="1" applyAlignment="1">
      <alignment horizontal="right" vertical="center"/>
    </xf>
    <xf numFmtId="4" fontId="6" fillId="39" borderId="16" xfId="0" applyNumberFormat="1" applyFont="1" applyFill="1" applyBorder="1" applyAlignment="1">
      <alignment horizontal="right" vertical="center"/>
    </xf>
    <xf numFmtId="2" fontId="6" fillId="39" borderId="16" xfId="0" applyNumberFormat="1" applyFont="1" applyFill="1" applyBorder="1" applyAlignment="1">
      <alignment horizontal="right" vertical="center"/>
    </xf>
    <xf numFmtId="4" fontId="14" fillId="34" borderId="24" xfId="0" applyNumberFormat="1" applyFont="1" applyFill="1" applyBorder="1" applyAlignment="1">
      <alignment horizontal="right" vertical="center"/>
    </xf>
    <xf numFmtId="4" fontId="14" fillId="39" borderId="29" xfId="0" applyNumberFormat="1" applyFont="1" applyFill="1" applyBorder="1" applyAlignment="1">
      <alignment horizontal="right" vertical="center"/>
    </xf>
    <xf numFmtId="2" fontId="6" fillId="39" borderId="29" xfId="0" applyNumberFormat="1" applyFont="1" applyFill="1" applyBorder="1" applyAlignment="1">
      <alignment horizontal="right" vertical="center"/>
    </xf>
    <xf numFmtId="2" fontId="6" fillId="39" borderId="21" xfId="0" applyNumberFormat="1" applyFont="1" applyFill="1" applyBorder="1" applyAlignment="1">
      <alignment horizontal="right" vertical="center"/>
    </xf>
    <xf numFmtId="4" fontId="14" fillId="39" borderId="22" xfId="0" applyNumberFormat="1" applyFont="1" applyFill="1" applyBorder="1" applyAlignment="1">
      <alignment horizontal="right" vertical="center"/>
    </xf>
    <xf numFmtId="4" fontId="14" fillId="39" borderId="10" xfId="0" applyNumberFormat="1" applyFont="1" applyFill="1" applyBorder="1" applyAlignment="1">
      <alignment horizontal="right" vertical="center"/>
    </xf>
    <xf numFmtId="4" fontId="13" fillId="44" borderId="24" xfId="0" applyNumberFormat="1" applyFont="1" applyFill="1" applyBorder="1" applyAlignment="1">
      <alignment horizontal="right" vertical="center"/>
    </xf>
    <xf numFmtId="2" fontId="8" fillId="44" borderId="24" xfId="0" applyNumberFormat="1" applyFont="1" applyFill="1" applyBorder="1" applyAlignment="1">
      <alignment horizontal="right" vertical="center"/>
    </xf>
    <xf numFmtId="2" fontId="8" fillId="44" borderId="16" xfId="0" applyNumberFormat="1" applyFont="1" applyFill="1" applyBorder="1" applyAlignment="1">
      <alignment horizontal="right" vertical="center"/>
    </xf>
    <xf numFmtId="4" fontId="13" fillId="44" borderId="10" xfId="0" applyNumberFormat="1" applyFont="1" applyFill="1" applyBorder="1" applyAlignment="1">
      <alignment horizontal="right" vertical="center"/>
    </xf>
    <xf numFmtId="2" fontId="8" fillId="40" borderId="10" xfId="0" applyNumberFormat="1" applyFont="1" applyFill="1" applyBorder="1" applyAlignment="1">
      <alignment horizontal="right" vertical="center"/>
    </xf>
    <xf numFmtId="4" fontId="2" fillId="40" borderId="10" xfId="0" applyNumberFormat="1" applyFont="1" applyFill="1" applyBorder="1" applyAlignment="1">
      <alignment horizontal="right" vertical="center"/>
    </xf>
    <xf numFmtId="0" fontId="0" fillId="40" borderId="11" xfId="0" applyFont="1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14" fillId="38" borderId="24" xfId="0" applyNumberFormat="1" applyFont="1" applyFill="1" applyBorder="1" applyAlignment="1">
      <alignment horizontal="right" vertical="center"/>
    </xf>
    <xf numFmtId="2" fontId="6" fillId="38" borderId="24" xfId="0" applyNumberFormat="1" applyFont="1" applyFill="1" applyBorder="1" applyAlignment="1">
      <alignment horizontal="right" vertical="center"/>
    </xf>
    <xf numFmtId="0" fontId="6" fillId="40" borderId="10" xfId="0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right" vertical="center"/>
    </xf>
    <xf numFmtId="49" fontId="8" fillId="40" borderId="27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3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14" fillId="34" borderId="30" xfId="0" applyNumberFormat="1" applyFont="1" applyFill="1" applyBorder="1" applyAlignment="1">
      <alignment horizontal="right" vertical="center"/>
    </xf>
    <xf numFmtId="4" fontId="14" fillId="39" borderId="31" xfId="0" applyNumberFormat="1" applyFont="1" applyFill="1" applyBorder="1" applyAlignment="1">
      <alignment horizontal="right" vertical="center"/>
    </xf>
    <xf numFmtId="2" fontId="6" fillId="39" borderId="31" xfId="0" applyNumberFormat="1" applyFont="1" applyFill="1" applyBorder="1" applyAlignment="1">
      <alignment horizontal="right" vertical="center"/>
    </xf>
    <xf numFmtId="2" fontId="6" fillId="39" borderId="32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4" fontId="13" fillId="0" borderId="34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/>
    </xf>
    <xf numFmtId="49" fontId="8" fillId="40" borderId="10" xfId="0" applyNumberFormat="1" applyFont="1" applyFill="1" applyBorder="1" applyAlignment="1">
      <alignment horizontal="center" vertical="center"/>
    </xf>
    <xf numFmtId="49" fontId="8" fillId="40" borderId="3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" fontId="6" fillId="39" borderId="32" xfId="0" applyNumberFormat="1" applyFont="1" applyFill="1" applyBorder="1" applyAlignment="1">
      <alignment horizontal="right" vertical="center"/>
    </xf>
    <xf numFmtId="4" fontId="13" fillId="35" borderId="35" xfId="0" applyNumberFormat="1" applyFont="1" applyFill="1" applyBorder="1" applyAlignment="1">
      <alignment horizontal="right" vertical="center"/>
    </xf>
    <xf numFmtId="2" fontId="8" fillId="35" borderId="34" xfId="0" applyNumberFormat="1" applyFont="1" applyFill="1" applyBorder="1" applyAlignment="1">
      <alignment horizontal="right" vertical="center"/>
    </xf>
    <xf numFmtId="4" fontId="8" fillId="35" borderId="36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31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vertical="center"/>
    </xf>
    <xf numFmtId="4" fontId="13" fillId="0" borderId="34" xfId="0" applyNumberFormat="1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35" borderId="34" xfId="0" applyNumberFormat="1" applyFont="1" applyFill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2" fontId="8" fillId="35" borderId="36" xfId="0" applyNumberFormat="1" applyFont="1" applyFill="1" applyBorder="1" applyAlignment="1">
      <alignment horizontal="right" vertical="center"/>
    </xf>
    <xf numFmtId="4" fontId="14" fillId="39" borderId="30" xfId="0" applyNumberFormat="1" applyFont="1" applyFill="1" applyBorder="1" applyAlignment="1">
      <alignment horizontal="right" vertical="center"/>
    </xf>
    <xf numFmtId="2" fontId="6" fillId="39" borderId="30" xfId="0" applyNumberFormat="1" applyFont="1" applyFill="1" applyBorder="1" applyAlignment="1">
      <alignment horizontal="right" vertical="center"/>
    </xf>
    <xf numFmtId="4" fontId="13" fillId="0" borderId="34" xfId="0" applyNumberFormat="1" applyFont="1" applyFill="1" applyBorder="1" applyAlignment="1">
      <alignment horizontal="right" vertical="center"/>
    </xf>
    <xf numFmtId="4" fontId="13" fillId="0" borderId="33" xfId="0" applyNumberFormat="1" applyFont="1" applyFill="1" applyBorder="1" applyAlignment="1">
      <alignment horizontal="right" vertical="center"/>
    </xf>
    <xf numFmtId="2" fontId="8" fillId="33" borderId="34" xfId="0" applyNumberFormat="1" applyFont="1" applyFill="1" applyBorder="1" applyAlignment="1">
      <alignment horizontal="right" vertical="center"/>
    </xf>
    <xf numFmtId="2" fontId="8" fillId="33" borderId="36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vertical="center"/>
    </xf>
    <xf numFmtId="4" fontId="14" fillId="0" borderId="34" xfId="0" applyNumberFormat="1" applyFont="1" applyFill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4" fontId="13" fillId="45" borderId="10" xfId="0" applyNumberFormat="1" applyFont="1" applyFill="1" applyBorder="1" applyAlignment="1">
      <alignment vertical="center"/>
    </xf>
    <xf numFmtId="4" fontId="13" fillId="45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4" fontId="13" fillId="0" borderId="37" xfId="0" applyNumberFormat="1" applyFont="1" applyFill="1" applyBorder="1" applyAlignment="1">
      <alignment horizontal="right" vertical="center"/>
    </xf>
    <xf numFmtId="4" fontId="13" fillId="0" borderId="38" xfId="0" applyNumberFormat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horizontal="right" vertical="center"/>
    </xf>
    <xf numFmtId="4" fontId="13" fillId="0" borderId="39" xfId="0" applyNumberFormat="1" applyFont="1" applyBorder="1" applyAlignment="1">
      <alignment horizontal="right" vertical="center"/>
    </xf>
    <xf numFmtId="4" fontId="13" fillId="45" borderId="16" xfId="0" applyNumberFormat="1" applyFont="1" applyFill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9" fontId="8" fillId="0" borderId="40" xfId="0" applyNumberFormat="1" applyFont="1" applyBorder="1" applyAlignment="1">
      <alignment horizontal="center" vertical="center"/>
    </xf>
    <xf numFmtId="4" fontId="14" fillId="39" borderId="16" xfId="0" applyNumberFormat="1" applyFont="1" applyFill="1" applyBorder="1" applyAlignment="1">
      <alignment horizontal="right" vertical="center"/>
    </xf>
    <xf numFmtId="2" fontId="6" fillId="38" borderId="16" xfId="0" applyNumberFormat="1" applyFont="1" applyFill="1" applyBorder="1" applyAlignment="1">
      <alignment horizontal="right" vertical="center"/>
    </xf>
    <xf numFmtId="4" fontId="14" fillId="0" borderId="37" xfId="0" applyNumberFormat="1" applyFont="1" applyFill="1" applyBorder="1" applyAlignment="1">
      <alignment vertical="center"/>
    </xf>
    <xf numFmtId="4" fontId="14" fillId="0" borderId="39" xfId="0" applyNumberFormat="1" applyFont="1" applyFill="1" applyBorder="1" applyAlignment="1">
      <alignment vertical="center"/>
    </xf>
    <xf numFmtId="4" fontId="70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Fill="1" applyAlignment="1">
      <alignment/>
    </xf>
    <xf numFmtId="179" fontId="71" fillId="0" borderId="0" xfId="0" applyNumberFormat="1" applyFont="1" applyAlignment="1">
      <alignment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31" fillId="0" borderId="0" xfId="0" applyNumberFormat="1" applyFont="1" applyAlignment="1">
      <alignment vertical="center"/>
    </xf>
    <xf numFmtId="179" fontId="21" fillId="0" borderId="0" xfId="0" applyNumberFormat="1" applyFont="1" applyAlignment="1">
      <alignment vertical="center"/>
    </xf>
    <xf numFmtId="179" fontId="70" fillId="0" borderId="0" xfId="0" applyNumberFormat="1" applyFont="1" applyBorder="1" applyAlignment="1">
      <alignment wrapText="1"/>
    </xf>
    <xf numFmtId="179" fontId="70" fillId="0" borderId="0" xfId="0" applyNumberFormat="1" applyFont="1" applyBorder="1" applyAlignment="1">
      <alignment horizontal="left" wrapText="1"/>
    </xf>
    <xf numFmtId="179" fontId="0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79" fontId="70" fillId="0" borderId="0" xfId="0" applyNumberFormat="1" applyFont="1" applyAlignment="1">
      <alignment vertical="center"/>
    </xf>
    <xf numFmtId="179" fontId="70" fillId="0" borderId="0" xfId="0" applyNumberFormat="1" applyFont="1" applyBorder="1" applyAlignment="1">
      <alignment vertical="center"/>
    </xf>
    <xf numFmtId="179" fontId="70" fillId="0" borderId="0" xfId="0" applyNumberFormat="1" applyFont="1" applyAlignment="1">
      <alignment/>
    </xf>
    <xf numFmtId="179" fontId="70" fillId="0" borderId="0" xfId="0" applyNumberFormat="1" applyFont="1" applyFill="1" applyAlignment="1">
      <alignment vertical="center"/>
    </xf>
    <xf numFmtId="179" fontId="70" fillId="0" borderId="0" xfId="0" applyNumberFormat="1" applyFont="1" applyBorder="1" applyAlignment="1">
      <alignment wrapText="1"/>
    </xf>
    <xf numFmtId="179" fontId="70" fillId="0" borderId="0" xfId="0" applyNumberFormat="1" applyFont="1" applyBorder="1" applyAlignment="1">
      <alignment horizontal="left" wrapText="1"/>
    </xf>
    <xf numFmtId="179" fontId="72" fillId="0" borderId="0" xfId="0" applyNumberFormat="1" applyFont="1" applyAlignment="1">
      <alignment horizontal="center" vertical="center"/>
    </xf>
    <xf numFmtId="179" fontId="73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71" fillId="0" borderId="0" xfId="0" applyNumberFormat="1" applyFont="1" applyBorder="1" applyAlignment="1">
      <alignment vertical="center"/>
    </xf>
    <xf numFmtId="2" fontId="8" fillId="0" borderId="24" xfId="0" applyNumberFormat="1" applyFont="1" applyFill="1" applyBorder="1" applyAlignment="1">
      <alignment horizontal="right" vertical="center"/>
    </xf>
    <xf numFmtId="4" fontId="8" fillId="0" borderId="16" xfId="0" applyNumberFormat="1" applyFont="1" applyFill="1" applyBorder="1" applyAlignment="1">
      <alignment horizontal="right" vertical="center"/>
    </xf>
    <xf numFmtId="4" fontId="33" fillId="13" borderId="32" xfId="0" applyNumberFormat="1" applyFont="1" applyFill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" fontId="6" fillId="34" borderId="16" xfId="0" applyNumberFormat="1" applyFont="1" applyFill="1" applyBorder="1" applyAlignment="1">
      <alignment horizontal="right" vertical="center"/>
    </xf>
    <xf numFmtId="4" fontId="6" fillId="36" borderId="16" xfId="0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4" fontId="2" fillId="39" borderId="16" xfId="0" applyNumberFormat="1" applyFont="1" applyFill="1" applyBorder="1" applyAlignment="1">
      <alignment horizontal="right" vertical="center"/>
    </xf>
    <xf numFmtId="4" fontId="2" fillId="36" borderId="1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4" fontId="2" fillId="39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38" borderId="1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left" vertical="center"/>
    </xf>
    <xf numFmtId="4" fontId="23" fillId="13" borderId="13" xfId="0" applyNumberFormat="1" applyFont="1" applyFill="1" applyBorder="1" applyAlignment="1">
      <alignment horizontal="right" vertical="center"/>
    </xf>
    <xf numFmtId="4" fontId="23" fillId="13" borderId="21" xfId="0" applyNumberFormat="1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right" vertical="center"/>
    </xf>
    <xf numFmtId="0" fontId="8" fillId="33" borderId="35" xfId="0" applyFont="1" applyFill="1" applyBorder="1" applyAlignment="1">
      <alignment vertical="center" wrapText="1"/>
    </xf>
    <xf numFmtId="4" fontId="8" fillId="40" borderId="34" xfId="0" applyNumberFormat="1" applyFont="1" applyFill="1" applyBorder="1" applyAlignment="1">
      <alignment horizontal="right" vertical="center"/>
    </xf>
    <xf numFmtId="4" fontId="13" fillId="40" borderId="34" xfId="0" applyNumberFormat="1" applyFont="1" applyFill="1" applyBorder="1" applyAlignment="1">
      <alignment horizontal="right" vertical="center"/>
    </xf>
    <xf numFmtId="2" fontId="8" fillId="40" borderId="34" xfId="0" applyNumberFormat="1" applyFont="1" applyFill="1" applyBorder="1" applyAlignment="1">
      <alignment horizontal="right" vertical="center"/>
    </xf>
    <xf numFmtId="4" fontId="8" fillId="40" borderId="36" xfId="0" applyNumberFormat="1" applyFont="1" applyFill="1" applyBorder="1" applyAlignment="1">
      <alignment horizontal="right" vertical="center"/>
    </xf>
    <xf numFmtId="4" fontId="8" fillId="44" borderId="16" xfId="0" applyNumberFormat="1" applyFont="1" applyFill="1" applyBorder="1" applyAlignment="1">
      <alignment horizontal="right" vertical="center"/>
    </xf>
    <xf numFmtId="4" fontId="23" fillId="39" borderId="21" xfId="0" applyNumberFormat="1" applyFont="1" applyFill="1" applyBorder="1" applyAlignment="1">
      <alignment horizontal="right" vertical="center"/>
    </xf>
    <xf numFmtId="4" fontId="23" fillId="13" borderId="13" xfId="0" applyNumberFormat="1" applyFont="1" applyFill="1" applyBorder="1" applyAlignment="1">
      <alignment horizontal="right" vertical="center"/>
    </xf>
    <xf numFmtId="4" fontId="23" fillId="13" borderId="21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2" fontId="17" fillId="0" borderId="43" xfId="0" applyNumberFormat="1" applyFont="1" applyFill="1" applyBorder="1" applyAlignment="1">
      <alignment horizontal="center" vertical="center" wrapText="1"/>
    </xf>
    <xf numFmtId="2" fontId="17" fillId="0" borderId="43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4" fontId="0" fillId="0" borderId="49" xfId="0" applyNumberFormat="1" applyBorder="1" applyAlignment="1">
      <alignment horizontal="right" vertical="center"/>
    </xf>
    <xf numFmtId="2" fontId="0" fillId="0" borderId="49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4" fontId="0" fillId="0" borderId="46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2" fontId="0" fillId="0" borderId="52" xfId="0" applyNumberFormat="1" applyBorder="1" applyAlignment="1">
      <alignment horizontal="right" vertical="center"/>
    </xf>
    <xf numFmtId="4" fontId="23" fillId="39" borderId="53" xfId="0" applyNumberFormat="1" applyFont="1" applyFill="1" applyBorder="1" applyAlignment="1">
      <alignment horizontal="right" vertical="center"/>
    </xf>
    <xf numFmtId="4" fontId="23" fillId="39" borderId="5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8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" fontId="14" fillId="40" borderId="31" xfId="0" applyNumberFormat="1" applyFont="1" applyFill="1" applyBorder="1" applyAlignment="1">
      <alignment horizontal="center" vertical="center"/>
    </xf>
    <xf numFmtId="4" fontId="14" fillId="40" borderId="14" xfId="0" applyNumberFormat="1" applyFont="1" applyFill="1" applyBorder="1" applyAlignment="1">
      <alignment horizontal="center" vertical="center"/>
    </xf>
    <xf numFmtId="4" fontId="14" fillId="40" borderId="37" xfId="0" applyNumberFormat="1" applyFont="1" applyFill="1" applyBorder="1" applyAlignment="1">
      <alignment horizontal="center" vertical="center"/>
    </xf>
    <xf numFmtId="4" fontId="14" fillId="40" borderId="34" xfId="0" applyNumberFormat="1" applyFont="1" applyFill="1" applyBorder="1" applyAlignment="1">
      <alignment horizontal="center" vertical="center"/>
    </xf>
    <xf numFmtId="4" fontId="14" fillId="40" borderId="15" xfId="0" applyNumberFormat="1" applyFont="1" applyFill="1" applyBorder="1" applyAlignment="1">
      <alignment horizontal="center" vertical="center"/>
    </xf>
    <xf numFmtId="4" fontId="14" fillId="40" borderId="39" xfId="0" applyNumberFormat="1" applyFont="1" applyFill="1" applyBorder="1" applyAlignment="1">
      <alignment horizontal="center" vertical="center"/>
    </xf>
    <xf numFmtId="49" fontId="6" fillId="40" borderId="27" xfId="0" applyNumberFormat="1" applyFont="1" applyFill="1" applyBorder="1" applyAlignment="1">
      <alignment horizontal="center" vertical="center"/>
    </xf>
    <xf numFmtId="49" fontId="6" fillId="40" borderId="25" xfId="0" applyNumberFormat="1" applyFont="1" applyFill="1" applyBorder="1" applyAlignment="1">
      <alignment horizontal="center" vertical="center"/>
    </xf>
    <xf numFmtId="49" fontId="6" fillId="40" borderId="60" xfId="0" applyNumberFormat="1" applyFont="1" applyFill="1" applyBorder="1" applyAlignment="1">
      <alignment horizontal="center" vertical="center"/>
    </xf>
    <xf numFmtId="49" fontId="6" fillId="40" borderId="61" xfId="0" applyNumberFormat="1" applyFont="1" applyFill="1" applyBorder="1" applyAlignment="1">
      <alignment horizontal="center" vertical="center"/>
    </xf>
    <xf numFmtId="49" fontId="6" fillId="40" borderId="62" xfId="0" applyNumberFormat="1" applyFont="1" applyFill="1" applyBorder="1" applyAlignment="1">
      <alignment horizontal="center" vertical="center"/>
    </xf>
    <xf numFmtId="49" fontId="6" fillId="40" borderId="63" xfId="0" applyNumberFormat="1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32" fillId="33" borderId="35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left" vertical="center" wrapText="1"/>
    </xf>
    <xf numFmtId="0" fontId="28" fillId="0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11</xdr:col>
      <xdr:colOff>28575</xdr:colOff>
      <xdr:row>8</xdr:row>
      <xdr:rowOff>47625</xdr:rowOff>
    </xdr:to>
    <xdr:pic>
      <xdr:nvPicPr>
        <xdr:cNvPr id="1" name="Picture 37" descr="01 1_1  CIRI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5762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7">
      <selection activeCell="G28" sqref="G28"/>
    </sheetView>
  </sheetViews>
  <sheetFormatPr defaultColWidth="9.140625" defaultRowHeight="12.75"/>
  <sheetData>
    <row r="1" spans="1:13" ht="12.7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24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ht="12.75" customHeight="1"/>
    <row r="6" ht="12.75" customHeight="1"/>
    <row r="7" ht="12.75" customHeight="1"/>
    <row r="8" spans="9:11" ht="15">
      <c r="I8" s="20"/>
      <c r="J8" s="20"/>
      <c r="K8" s="20"/>
    </row>
    <row r="9" spans="9:11" ht="15">
      <c r="I9" s="20"/>
      <c r="J9" s="21"/>
      <c r="K9" s="20"/>
    </row>
    <row r="10" spans="9:11" ht="15">
      <c r="I10" s="20"/>
      <c r="J10" s="21"/>
      <c r="K10" s="20"/>
    </row>
    <row r="11" spans="8:11" ht="12.75" customHeight="1">
      <c r="H11" s="22"/>
      <c r="I11" s="20"/>
      <c r="J11" s="23"/>
      <c r="K11" s="24"/>
    </row>
    <row r="12" ht="12.75" customHeight="1"/>
    <row r="13" ht="7.5" customHeight="1"/>
    <row r="14" spans="10:12" ht="12.75" customHeight="1">
      <c r="J14" s="304"/>
      <c r="K14" s="211" t="s">
        <v>557</v>
      </c>
      <c r="L14" s="211"/>
    </row>
    <row r="16" ht="6" customHeight="1"/>
    <row r="17" ht="12.75" customHeight="1"/>
    <row r="18" spans="1:13" ht="12.75" customHeight="1">
      <c r="A18" s="551" t="s">
        <v>475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</row>
    <row r="19" spans="1:13" ht="12.75" customHeight="1">
      <c r="A19" s="551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</row>
    <row r="20" spans="1:13" ht="34.5" customHeight="1">
      <c r="A20" s="551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</row>
    <row r="21" spans="1:13" ht="39" customHeight="1">
      <c r="A21" s="551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</row>
    <row r="22" ht="12.75" customHeight="1"/>
    <row r="23" ht="9" customHeight="1"/>
    <row r="33" spans="8:13" ht="15.75">
      <c r="H33" s="552" t="s">
        <v>336</v>
      </c>
      <c r="I33" s="552"/>
      <c r="J33" s="552"/>
      <c r="K33" s="552"/>
      <c r="L33" s="552"/>
      <c r="M33" s="552"/>
    </row>
    <row r="34" spans="1:13" ht="15.75">
      <c r="A34" s="553" t="s">
        <v>558</v>
      </c>
      <c r="B34" s="553"/>
      <c r="C34" s="553"/>
      <c r="D34" s="553"/>
      <c r="E34" s="553"/>
      <c r="H34" s="552" t="s">
        <v>337</v>
      </c>
      <c r="I34" s="552"/>
      <c r="J34" s="552"/>
      <c r="K34" s="552"/>
      <c r="L34" s="552"/>
      <c r="M34" s="552"/>
    </row>
  </sheetData>
  <sheetProtection/>
  <mergeCells count="4">
    <mergeCell ref="A18:M21"/>
    <mergeCell ref="H33:M33"/>
    <mergeCell ref="A34:E34"/>
    <mergeCell ref="H34:M34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49">
      <selection activeCell="B69" sqref="B69:E71"/>
    </sheetView>
  </sheetViews>
  <sheetFormatPr defaultColWidth="9.140625" defaultRowHeight="12.75"/>
  <cols>
    <col min="1" max="1" width="11.00390625" style="0" bestFit="1" customWidth="1"/>
    <col min="2" max="2" width="56.140625" style="0" customWidth="1"/>
    <col min="3" max="3" width="17.28125" style="148" customWidth="1"/>
    <col min="4" max="4" width="17.00390625" style="148" customWidth="1"/>
    <col min="5" max="5" width="18.140625" style="148" customWidth="1"/>
    <col min="6" max="6" width="9.8515625" style="148" hidden="1" customWidth="1"/>
    <col min="7" max="7" width="11.8515625" style="0" customWidth="1"/>
    <col min="8" max="8" width="9.140625" style="0" customWidth="1"/>
    <col min="9" max="9" width="16.7109375" style="0" customWidth="1"/>
    <col min="10" max="10" width="14.8515625" style="0" customWidth="1"/>
  </cols>
  <sheetData>
    <row r="1" spans="1:7" ht="40.5" customHeight="1" thickBot="1">
      <c r="A1" s="554" t="s">
        <v>477</v>
      </c>
      <c r="B1" s="554"/>
      <c r="C1" s="554"/>
      <c r="D1" s="554"/>
      <c r="E1" s="554"/>
      <c r="F1" s="554"/>
      <c r="G1" s="554"/>
    </row>
    <row r="2" spans="1:7" ht="18.75" customHeight="1" thickTop="1">
      <c r="A2" s="557" t="s">
        <v>64</v>
      </c>
      <c r="B2" s="559" t="s">
        <v>236</v>
      </c>
      <c r="C2" s="561" t="s">
        <v>530</v>
      </c>
      <c r="D2" s="561" t="s">
        <v>524</v>
      </c>
      <c r="E2" s="563" t="s">
        <v>531</v>
      </c>
      <c r="F2" s="561" t="s">
        <v>120</v>
      </c>
      <c r="G2" s="555" t="s">
        <v>120</v>
      </c>
    </row>
    <row r="3" spans="1:7" ht="42.75" customHeight="1">
      <c r="A3" s="558"/>
      <c r="B3" s="560"/>
      <c r="C3" s="562"/>
      <c r="D3" s="562"/>
      <c r="E3" s="564"/>
      <c r="F3" s="562"/>
      <c r="G3" s="556"/>
    </row>
    <row r="4" spans="1:7" s="5" customFormat="1" ht="12.75" customHeight="1">
      <c r="A4" s="222">
        <v>1</v>
      </c>
      <c r="B4" s="111">
        <v>2</v>
      </c>
      <c r="C4" s="251">
        <v>3</v>
      </c>
      <c r="D4" s="251">
        <v>4</v>
      </c>
      <c r="E4" s="251">
        <v>5</v>
      </c>
      <c r="F4" s="251" t="s">
        <v>398</v>
      </c>
      <c r="G4" s="229" t="s">
        <v>502</v>
      </c>
    </row>
    <row r="5" spans="1:9" ht="18" customHeight="1">
      <c r="A5" s="223"/>
      <c r="B5" s="116" t="s">
        <v>308</v>
      </c>
      <c r="C5" s="230">
        <f>C6+C13+C18+C20</f>
        <v>13556700</v>
      </c>
      <c r="D5" s="262">
        <f>D6+D13+D18+D20</f>
        <v>13744000</v>
      </c>
      <c r="E5" s="262">
        <f>E6+E13+E18+E20</f>
        <v>13552000</v>
      </c>
      <c r="F5" s="262">
        <f>E5/D5*100</f>
        <v>98.60302677532013</v>
      </c>
      <c r="G5" s="231">
        <f>IF(C5&gt;0,E5/C5*100,0)</f>
        <v>99.96533079584265</v>
      </c>
      <c r="I5" s="1"/>
    </row>
    <row r="6" spans="1:9" ht="15" customHeight="1">
      <c r="A6" s="232">
        <v>710000</v>
      </c>
      <c r="B6" s="158" t="s">
        <v>253</v>
      </c>
      <c r="C6" s="200">
        <f>C7+C8+C9+C10+C11+C12</f>
        <v>10100000</v>
      </c>
      <c r="D6" s="253">
        <f>D7+D8+D9+D10+D11+D12</f>
        <v>9934600</v>
      </c>
      <c r="E6" s="253">
        <f>E7+E8+E9+E10+E11+E12</f>
        <v>10030000</v>
      </c>
      <c r="F6" s="306">
        <f aca="true" t="shared" si="0" ref="F6:F66">E6/D6*100</f>
        <v>100.96028023272201</v>
      </c>
      <c r="G6" s="307">
        <f aca="true" t="shared" si="1" ref="G6:G66">IF(C6&gt;0,E6/C6*100,0)</f>
        <v>99.3069306930693</v>
      </c>
      <c r="I6" s="1"/>
    </row>
    <row r="7" spans="1:9" ht="14.25" customHeight="1">
      <c r="A7" s="227">
        <v>711100</v>
      </c>
      <c r="B7" s="94" t="s">
        <v>214</v>
      </c>
      <c r="C7" s="70">
        <f>'B.pr. i prim. za nef. im.'!D7</f>
        <v>4000</v>
      </c>
      <c r="D7" s="189">
        <f>'B.pr. i prim. za nef. im.'!E7</f>
        <v>1600</v>
      </c>
      <c r="E7" s="189">
        <f>'B.pr. i prim. za nef. im.'!F7</f>
        <v>3000</v>
      </c>
      <c r="F7" s="310">
        <f t="shared" si="0"/>
        <v>187.5</v>
      </c>
      <c r="G7" s="311">
        <f t="shared" si="1"/>
        <v>75</v>
      </c>
      <c r="I7" s="1"/>
    </row>
    <row r="8" spans="1:9" ht="13.5" customHeight="1">
      <c r="A8" s="227">
        <v>713000</v>
      </c>
      <c r="B8" s="46" t="s">
        <v>6</v>
      </c>
      <c r="C8" s="70">
        <f>'B.pr. i prim. za nef. im.'!D9</f>
        <v>1140000</v>
      </c>
      <c r="D8" s="189">
        <f>'B.pr. i prim. za nef. im.'!E9</f>
        <v>1155000</v>
      </c>
      <c r="E8" s="189">
        <f>'B.pr. i prim. za nef. im.'!F9</f>
        <v>1160000</v>
      </c>
      <c r="F8" s="310">
        <f t="shared" si="0"/>
        <v>100.43290043290042</v>
      </c>
      <c r="G8" s="311">
        <f t="shared" si="1"/>
        <v>101.75438596491229</v>
      </c>
      <c r="I8" s="1"/>
    </row>
    <row r="9" spans="1:9" ht="14.25" customHeight="1">
      <c r="A9" s="227">
        <v>714000</v>
      </c>
      <c r="B9" s="46" t="s">
        <v>10</v>
      </c>
      <c r="C9" s="70">
        <f>'B.pr. i prim. za nef. im.'!D12</f>
        <v>390000</v>
      </c>
      <c r="D9" s="189">
        <f>'B.pr. i prim. za nef. im.'!E12</f>
        <v>290000</v>
      </c>
      <c r="E9" s="189">
        <f>'B.pr. i prim. za nef. im.'!F12</f>
        <v>350000</v>
      </c>
      <c r="F9" s="310">
        <f t="shared" si="0"/>
        <v>120.6896551724138</v>
      </c>
      <c r="G9" s="311">
        <f t="shared" si="1"/>
        <v>89.74358974358975</v>
      </c>
      <c r="I9" s="1"/>
    </row>
    <row r="10" spans="1:9" ht="14.25" customHeight="1">
      <c r="A10" s="227">
        <v>715000</v>
      </c>
      <c r="B10" s="46" t="s">
        <v>177</v>
      </c>
      <c r="C10" s="70">
        <f>'B.pr. i prim. za nef. im.'!D14</f>
        <v>140000</v>
      </c>
      <c r="D10" s="189">
        <f>'B.pr. i prim. za nef. im.'!E14</f>
        <v>108000</v>
      </c>
      <c r="E10" s="189">
        <f>'B.pr. i prim. za nef. im.'!F14</f>
        <v>55000</v>
      </c>
      <c r="F10" s="310">
        <f t="shared" si="0"/>
        <v>50.92592592592593</v>
      </c>
      <c r="G10" s="311">
        <f t="shared" si="1"/>
        <v>39.285714285714285</v>
      </c>
      <c r="I10" s="1"/>
    </row>
    <row r="11" spans="1:9" ht="14.25" customHeight="1">
      <c r="A11" s="227">
        <v>717000</v>
      </c>
      <c r="B11" s="94" t="s">
        <v>413</v>
      </c>
      <c r="C11" s="70">
        <f>'B.pr. i prim. za nef. im.'!D17</f>
        <v>8410000</v>
      </c>
      <c r="D11" s="189">
        <f>'B.pr. i prim. za nef. im.'!E17</f>
        <v>8370000</v>
      </c>
      <c r="E11" s="189">
        <f>'B.pr. i prim. za nef. im.'!F17</f>
        <v>8450000</v>
      </c>
      <c r="F11" s="310">
        <f t="shared" si="0"/>
        <v>100.9557945041816</v>
      </c>
      <c r="G11" s="311">
        <f t="shared" si="1"/>
        <v>100.4756242568371</v>
      </c>
      <c r="I11" s="1"/>
    </row>
    <row r="12" spans="1:9" ht="14.25" customHeight="1">
      <c r="A12" s="227">
        <v>719000</v>
      </c>
      <c r="B12" s="46" t="s">
        <v>414</v>
      </c>
      <c r="C12" s="70">
        <f>'B.pr. i prim. za nef. im.'!D19</f>
        <v>16000</v>
      </c>
      <c r="D12" s="189">
        <f>'B.pr. i prim. za nef. im.'!E19</f>
        <v>10000</v>
      </c>
      <c r="E12" s="189">
        <f>'B.pr. i prim. za nef. im.'!F19</f>
        <v>12000</v>
      </c>
      <c r="F12" s="310">
        <f t="shared" si="0"/>
        <v>120</v>
      </c>
      <c r="G12" s="311">
        <f t="shared" si="1"/>
        <v>75</v>
      </c>
      <c r="I12" s="1"/>
    </row>
    <row r="13" spans="1:9" ht="15" customHeight="1">
      <c r="A13" s="232">
        <v>720000</v>
      </c>
      <c r="B13" s="158" t="s">
        <v>256</v>
      </c>
      <c r="C13" s="200">
        <f>C14+C15+C16+C17</f>
        <v>2535800</v>
      </c>
      <c r="D13" s="253">
        <f>D14+D15+D16+D17</f>
        <v>2582300</v>
      </c>
      <c r="E13" s="253">
        <f>E14+E15+E16+E17</f>
        <v>2544500</v>
      </c>
      <c r="F13" s="306">
        <f t="shared" si="0"/>
        <v>98.53618866901598</v>
      </c>
      <c r="G13" s="307">
        <f t="shared" si="1"/>
        <v>100.34308699424246</v>
      </c>
      <c r="I13" s="1"/>
    </row>
    <row r="14" spans="1:9" ht="14.25" customHeight="1">
      <c r="A14" s="225">
        <v>721000</v>
      </c>
      <c r="B14" s="94" t="s">
        <v>178</v>
      </c>
      <c r="C14" s="70">
        <f>'B.pr. i prim. za nef. im.'!D22</f>
        <v>260500</v>
      </c>
      <c r="D14" s="189">
        <f>'B.pr. i prim. za nef. im.'!E22</f>
        <v>131500</v>
      </c>
      <c r="E14" s="189">
        <f>'B.pr. i prim. za nef. im.'!F22</f>
        <v>202000</v>
      </c>
      <c r="F14" s="310">
        <f t="shared" si="0"/>
        <v>153.61216730038024</v>
      </c>
      <c r="G14" s="311">
        <f t="shared" si="1"/>
        <v>77.54318618042227</v>
      </c>
      <c r="I14" s="1"/>
    </row>
    <row r="15" spans="1:9" ht="14.25" customHeight="1">
      <c r="A15" s="225">
        <v>722000</v>
      </c>
      <c r="B15" s="29" t="s">
        <v>181</v>
      </c>
      <c r="C15" s="70">
        <f>'B.pr. i prim. za nef. im.'!D29</f>
        <v>2230500</v>
      </c>
      <c r="D15" s="189">
        <f>'B.pr. i prim. za nef. im.'!E29</f>
        <v>2385800</v>
      </c>
      <c r="E15" s="189">
        <f>'B.pr. i prim. za nef. im.'!F29</f>
        <v>2277500</v>
      </c>
      <c r="F15" s="310">
        <f t="shared" si="0"/>
        <v>95.46064213261799</v>
      </c>
      <c r="G15" s="311">
        <f t="shared" si="1"/>
        <v>102.10715086303519</v>
      </c>
      <c r="I15" s="1"/>
    </row>
    <row r="16" spans="1:9" ht="14.25" customHeight="1">
      <c r="A16" s="225">
        <v>723000</v>
      </c>
      <c r="B16" s="46" t="s">
        <v>24</v>
      </c>
      <c r="C16" s="233">
        <f>'B.pr. i prim. za nef. im.'!D61</f>
        <v>11000</v>
      </c>
      <c r="D16" s="263">
        <f>'B.pr. i prim. za nef. im.'!E61</f>
        <v>13000</v>
      </c>
      <c r="E16" s="263">
        <f>'B.pr. i prim. za nef. im.'!F61</f>
        <v>13000</v>
      </c>
      <c r="F16" s="310">
        <f t="shared" si="0"/>
        <v>100</v>
      </c>
      <c r="G16" s="311">
        <f t="shared" si="1"/>
        <v>118.18181818181819</v>
      </c>
      <c r="I16" s="1"/>
    </row>
    <row r="17" spans="1:9" ht="12.75">
      <c r="A17" s="225">
        <v>729000</v>
      </c>
      <c r="B17" s="29" t="s">
        <v>25</v>
      </c>
      <c r="C17" s="233">
        <f>'B.pr. i prim. za nef. im.'!D63</f>
        <v>33800</v>
      </c>
      <c r="D17" s="263">
        <f>'B.pr. i prim. za nef. im.'!E63</f>
        <v>52000</v>
      </c>
      <c r="E17" s="263">
        <f>'B.pr. i prim. za nef. im.'!F63</f>
        <v>52000</v>
      </c>
      <c r="F17" s="310">
        <f t="shared" si="0"/>
        <v>100</v>
      </c>
      <c r="G17" s="311">
        <f t="shared" si="1"/>
        <v>153.84615384615387</v>
      </c>
      <c r="I17" s="1"/>
    </row>
    <row r="18" spans="1:9" ht="15" customHeight="1">
      <c r="A18" s="226">
        <v>730000</v>
      </c>
      <c r="B18" s="159" t="s">
        <v>262</v>
      </c>
      <c r="C18" s="200">
        <f>C19</f>
        <v>0</v>
      </c>
      <c r="D18" s="253">
        <f>D19</f>
        <v>32832.5</v>
      </c>
      <c r="E18" s="253">
        <f>E19</f>
        <v>0</v>
      </c>
      <c r="F18" s="306">
        <f t="shared" si="0"/>
        <v>0</v>
      </c>
      <c r="G18" s="307">
        <f t="shared" si="1"/>
        <v>0</v>
      </c>
      <c r="I18" s="1"/>
    </row>
    <row r="19" spans="1:9" ht="15" customHeight="1">
      <c r="A19" s="227">
        <v>731000</v>
      </c>
      <c r="B19" s="36" t="s">
        <v>159</v>
      </c>
      <c r="C19" s="70">
        <f>'B.pr. i prim. za nef. im.'!D65</f>
        <v>0</v>
      </c>
      <c r="D19" s="189">
        <f>'B.pr. i prim. za nef. im.'!E65</f>
        <v>32832.5</v>
      </c>
      <c r="E19" s="189">
        <f>'B.pr. i prim. za nef. im.'!F65</f>
        <v>0</v>
      </c>
      <c r="F19" s="310">
        <f t="shared" si="0"/>
        <v>0</v>
      </c>
      <c r="G19" s="311">
        <f t="shared" si="1"/>
        <v>0</v>
      </c>
      <c r="I19" s="1"/>
    </row>
    <row r="20" spans="1:10" s="2" customFormat="1" ht="15" customHeight="1">
      <c r="A20" s="226">
        <v>780000</v>
      </c>
      <c r="B20" s="160" t="s">
        <v>415</v>
      </c>
      <c r="C20" s="200">
        <f>C21</f>
        <v>920900</v>
      </c>
      <c r="D20" s="253">
        <f>D21</f>
        <v>1194267.5</v>
      </c>
      <c r="E20" s="253">
        <f>E21</f>
        <v>977500</v>
      </c>
      <c r="F20" s="306">
        <f t="shared" si="0"/>
        <v>81.8493344246578</v>
      </c>
      <c r="G20" s="307">
        <f t="shared" si="1"/>
        <v>106.14616136388315</v>
      </c>
      <c r="I20" s="1"/>
      <c r="J20"/>
    </row>
    <row r="21" spans="1:10" s="2" customFormat="1" ht="15" customHeight="1">
      <c r="A21" s="227">
        <v>787000</v>
      </c>
      <c r="B21" s="46" t="s">
        <v>416</v>
      </c>
      <c r="C21" s="70">
        <f>'B.pr. i prim. za nef. im.'!D73</f>
        <v>920900</v>
      </c>
      <c r="D21" s="189">
        <f>'B.pr. i prim. za nef. im.'!E73</f>
        <v>1194267.5</v>
      </c>
      <c r="E21" s="189">
        <f>'B.pr. i prim. za nef. im.'!F73</f>
        <v>977500</v>
      </c>
      <c r="F21" s="310">
        <f t="shared" si="0"/>
        <v>81.8493344246578</v>
      </c>
      <c r="G21" s="311">
        <f t="shared" si="1"/>
        <v>106.14616136388315</v>
      </c>
      <c r="I21" s="1"/>
      <c r="J21"/>
    </row>
    <row r="22" spans="1:10" s="2" customFormat="1" ht="15" customHeight="1">
      <c r="A22" s="225"/>
      <c r="B22" s="116" t="s">
        <v>419</v>
      </c>
      <c r="C22" s="201">
        <f>C23+C32+C34</f>
        <v>11221900</v>
      </c>
      <c r="D22" s="264">
        <f>D23+D32+D34</f>
        <v>11153411.48</v>
      </c>
      <c r="E22" s="264">
        <f>E23+E32+E34</f>
        <v>11214000</v>
      </c>
      <c r="F22" s="262">
        <f t="shared" si="0"/>
        <v>100.54322859071993</v>
      </c>
      <c r="G22" s="231">
        <f t="shared" si="1"/>
        <v>99.92960193906558</v>
      </c>
      <c r="I22" s="1"/>
      <c r="J22"/>
    </row>
    <row r="23" spans="1:10" s="2" customFormat="1" ht="15" customHeight="1">
      <c r="A23" s="232">
        <v>410000</v>
      </c>
      <c r="B23" s="167" t="s">
        <v>309</v>
      </c>
      <c r="C23" s="200">
        <f>SUM(C24:C31)</f>
        <v>10889900</v>
      </c>
      <c r="D23" s="253">
        <f>SUM(D24:D31)</f>
        <v>10958905.48</v>
      </c>
      <c r="E23" s="253">
        <f>SUM(E24:E31)</f>
        <v>10875500</v>
      </c>
      <c r="F23" s="306">
        <f t="shared" si="0"/>
        <v>99.23892509017242</v>
      </c>
      <c r="G23" s="307">
        <f t="shared" si="1"/>
        <v>99.86776738078403</v>
      </c>
      <c r="I23" s="1"/>
      <c r="J23"/>
    </row>
    <row r="24" spans="1:10" s="2" customFormat="1" ht="14.25" customHeight="1">
      <c r="A24" s="227">
        <v>411000</v>
      </c>
      <c r="B24" s="161" t="s">
        <v>143</v>
      </c>
      <c r="C24" s="70">
        <f>'B.rash. i izdaci za nef. im.'!C6</f>
        <v>4045900</v>
      </c>
      <c r="D24" s="189">
        <f>'B.rash. i izdaci za nef. im.'!D6</f>
        <v>3921178.25</v>
      </c>
      <c r="E24" s="189">
        <f>'B.rash. i izdaci za nef. im.'!E6</f>
        <v>3832000</v>
      </c>
      <c r="F24" s="310">
        <f t="shared" si="0"/>
        <v>97.7257282297738</v>
      </c>
      <c r="G24" s="311">
        <f t="shared" si="1"/>
        <v>94.71316641538348</v>
      </c>
      <c r="I24" s="1"/>
      <c r="J24"/>
    </row>
    <row r="25" spans="1:10" s="2" customFormat="1" ht="12.75">
      <c r="A25" s="227">
        <v>412000</v>
      </c>
      <c r="B25" s="162" t="s">
        <v>145</v>
      </c>
      <c r="C25" s="70">
        <f>'B.rash. i izdaci za nef. im.'!C11</f>
        <v>2488300</v>
      </c>
      <c r="D25" s="70">
        <f>'B.rash. i izdaci za nef. im.'!D11</f>
        <v>2643552.73</v>
      </c>
      <c r="E25" s="70">
        <f>'B.rash. i izdaci za nef. im.'!E11</f>
        <v>2599050</v>
      </c>
      <c r="F25" s="310">
        <f t="shared" si="0"/>
        <v>98.31655599319178</v>
      </c>
      <c r="G25" s="311">
        <f t="shared" si="1"/>
        <v>104.45082988385646</v>
      </c>
      <c r="I25" s="1"/>
      <c r="J25"/>
    </row>
    <row r="26" spans="1:10" s="2" customFormat="1" ht="12.75">
      <c r="A26" s="227">
        <v>413000</v>
      </c>
      <c r="B26" s="163" t="s">
        <v>155</v>
      </c>
      <c r="C26" s="234">
        <f>'B.rash. i izdaci za nef. im.'!C21</f>
        <v>389500</v>
      </c>
      <c r="D26" s="265">
        <f>'B.rash. i izdaci za nef. im.'!D21</f>
        <v>375825</v>
      </c>
      <c r="E26" s="265">
        <f>'B.rash. i izdaci za nef. im.'!E21</f>
        <v>290500</v>
      </c>
      <c r="F26" s="310">
        <f t="shared" si="0"/>
        <v>77.29661411561231</v>
      </c>
      <c r="G26" s="311">
        <f t="shared" si="1"/>
        <v>74.58279845956355</v>
      </c>
      <c r="I26" s="1"/>
      <c r="J26"/>
    </row>
    <row r="27" spans="1:10" s="2" customFormat="1" ht="12.75">
      <c r="A27" s="227">
        <v>414000</v>
      </c>
      <c r="B27" s="161" t="s">
        <v>201</v>
      </c>
      <c r="C27" s="70">
        <f>'B.rash. i izdaci za nef. im.'!C25</f>
        <v>400000</v>
      </c>
      <c r="D27" s="189">
        <f>'B.rash. i izdaci za nef. im.'!D25</f>
        <v>400000</v>
      </c>
      <c r="E27" s="189">
        <f>'B.rash. i izdaci za nef. im.'!E25</f>
        <v>400000</v>
      </c>
      <c r="F27" s="310">
        <f t="shared" si="0"/>
        <v>100</v>
      </c>
      <c r="G27" s="311">
        <f t="shared" si="1"/>
        <v>100</v>
      </c>
      <c r="I27" s="1"/>
      <c r="J27"/>
    </row>
    <row r="28" spans="1:10" s="2" customFormat="1" ht="12.75">
      <c r="A28" s="227">
        <v>415000</v>
      </c>
      <c r="B28" s="162" t="s">
        <v>159</v>
      </c>
      <c r="C28" s="70">
        <f>'B.rash. i izdaci za nef. im.'!C27</f>
        <v>886200</v>
      </c>
      <c r="D28" s="189">
        <f>'B.rash. i izdaci za nef. im.'!D27</f>
        <v>931699.5</v>
      </c>
      <c r="E28" s="189">
        <f>'B.rash. i izdaci za nef. im.'!E27</f>
        <v>964800</v>
      </c>
      <c r="F28" s="310">
        <f t="shared" si="0"/>
        <v>103.55270127331828</v>
      </c>
      <c r="G28" s="311">
        <f t="shared" si="1"/>
        <v>108.8693297224103</v>
      </c>
      <c r="I28" s="1"/>
      <c r="J28"/>
    </row>
    <row r="29" spans="1:10" s="2" customFormat="1" ht="25.5" customHeight="1">
      <c r="A29" s="227">
        <v>416000</v>
      </c>
      <c r="B29" s="161" t="s">
        <v>168</v>
      </c>
      <c r="C29" s="70">
        <f>'B.rash. i izdaci za nef. im.'!C29</f>
        <v>2520000</v>
      </c>
      <c r="D29" s="189">
        <f>'B.rash. i izdaci za nef. im.'!D29</f>
        <v>2584750</v>
      </c>
      <c r="E29" s="189">
        <f>'B.rash. i izdaci za nef. im.'!E29</f>
        <v>2635000</v>
      </c>
      <c r="F29" s="310">
        <f t="shared" si="0"/>
        <v>101.94409517361447</v>
      </c>
      <c r="G29" s="311">
        <f t="shared" si="1"/>
        <v>104.56349206349206</v>
      </c>
      <c r="I29" s="1"/>
      <c r="J29"/>
    </row>
    <row r="30" spans="1:10" s="2" customFormat="1" ht="12" customHeight="1">
      <c r="A30" s="227">
        <v>418000</v>
      </c>
      <c r="B30" s="161" t="s">
        <v>417</v>
      </c>
      <c r="C30" s="70">
        <v>0</v>
      </c>
      <c r="D30" s="189">
        <v>0</v>
      </c>
      <c r="E30" s="189">
        <v>0</v>
      </c>
      <c r="F30" s="310" t="e">
        <f t="shared" si="0"/>
        <v>#DIV/0!</v>
      </c>
      <c r="G30" s="311">
        <f t="shared" si="1"/>
        <v>0</v>
      </c>
      <c r="I30" s="1"/>
      <c r="J30"/>
    </row>
    <row r="31" spans="1:10" s="2" customFormat="1" ht="16.5" customHeight="1">
      <c r="A31" s="227">
        <v>419000</v>
      </c>
      <c r="B31" s="161" t="s">
        <v>418</v>
      </c>
      <c r="C31" s="70">
        <f>'B.rash. i izdaci za nef. im.'!C32</f>
        <v>160000</v>
      </c>
      <c r="D31" s="189">
        <f>'B.rash. i izdaci za nef. im.'!D32</f>
        <v>101900</v>
      </c>
      <c r="E31" s="189">
        <f>'B.rash. i izdaci za nef. im.'!E32</f>
        <v>154150</v>
      </c>
      <c r="F31" s="310">
        <f t="shared" si="0"/>
        <v>151.27576054955838</v>
      </c>
      <c r="G31" s="311">
        <f t="shared" si="1"/>
        <v>96.34375</v>
      </c>
      <c r="I31" s="1"/>
      <c r="J31"/>
    </row>
    <row r="32" spans="1:10" s="2" customFormat="1" ht="16.5" customHeight="1">
      <c r="A32" s="232">
        <v>480000</v>
      </c>
      <c r="B32" s="167" t="s">
        <v>421</v>
      </c>
      <c r="C32" s="200">
        <f>SUM(C33)</f>
        <v>172000</v>
      </c>
      <c r="D32" s="253">
        <f>SUM(D33)</f>
        <v>167845.5</v>
      </c>
      <c r="E32" s="253">
        <f>SUM(E33)</f>
        <v>178500</v>
      </c>
      <c r="F32" s="306">
        <f t="shared" si="0"/>
        <v>106.3478019964789</v>
      </c>
      <c r="G32" s="307">
        <f t="shared" si="1"/>
        <v>103.77906976744187</v>
      </c>
      <c r="I32" s="1"/>
      <c r="J32"/>
    </row>
    <row r="33" spans="1:10" s="2" customFormat="1" ht="16.5" customHeight="1">
      <c r="A33" s="227">
        <v>487000</v>
      </c>
      <c r="B33" s="161" t="s">
        <v>416</v>
      </c>
      <c r="C33" s="70">
        <f>'B.rash. i izdaci za nef. im.'!C34</f>
        <v>172000</v>
      </c>
      <c r="D33" s="189">
        <f>'B.rash. i izdaci za nef. im.'!D34</f>
        <v>167845.5</v>
      </c>
      <c r="E33" s="189">
        <f>'B.rash. i izdaci za nef. im.'!E34</f>
        <v>178500</v>
      </c>
      <c r="F33" s="310">
        <f t="shared" si="0"/>
        <v>106.3478019964789</v>
      </c>
      <c r="G33" s="311">
        <f t="shared" si="1"/>
        <v>103.77906976744187</v>
      </c>
      <c r="I33" s="1"/>
      <c r="J33"/>
    </row>
    <row r="34" spans="1:10" s="2" customFormat="1" ht="15.75" customHeight="1">
      <c r="A34" s="232" t="s">
        <v>222</v>
      </c>
      <c r="B34" s="167" t="s">
        <v>420</v>
      </c>
      <c r="C34" s="200">
        <f>'B.rash. i izdaci za nef. im.'!C39</f>
        <v>160000</v>
      </c>
      <c r="D34" s="253">
        <f>'B.rash. i izdaci za nef. im.'!D39</f>
        <v>26660.5</v>
      </c>
      <c r="E34" s="253">
        <f>'B.rash. i izdaci za nef. im.'!E39</f>
        <v>160000</v>
      </c>
      <c r="F34" s="306">
        <f t="shared" si="0"/>
        <v>600.138782093359</v>
      </c>
      <c r="G34" s="307">
        <f t="shared" si="1"/>
        <v>100</v>
      </c>
      <c r="I34" s="1"/>
      <c r="J34"/>
    </row>
    <row r="35" spans="1:10" s="2" customFormat="1" ht="16.5" customHeight="1">
      <c r="A35" s="225"/>
      <c r="B35" s="164" t="s">
        <v>310</v>
      </c>
      <c r="C35" s="165">
        <f>C5-C22</f>
        <v>2334800</v>
      </c>
      <c r="D35" s="266">
        <f>D5-D22</f>
        <v>2590588.5199999996</v>
      </c>
      <c r="E35" s="266">
        <f>E5-E22</f>
        <v>2338000</v>
      </c>
      <c r="F35" s="308">
        <f t="shared" si="0"/>
        <v>90.24976301523951</v>
      </c>
      <c r="G35" s="309">
        <f t="shared" si="1"/>
        <v>100.13705670721261</v>
      </c>
      <c r="I35" s="1"/>
      <c r="J35"/>
    </row>
    <row r="36" spans="1:10" s="2" customFormat="1" ht="16.5" customHeight="1">
      <c r="A36" s="225"/>
      <c r="B36" s="166" t="s">
        <v>311</v>
      </c>
      <c r="C36" s="202">
        <f>C37-C41</f>
        <v>-1281700</v>
      </c>
      <c r="D36" s="252">
        <f>D37-D41</f>
        <v>-1410977.19</v>
      </c>
      <c r="E36" s="252">
        <f>E37-E41</f>
        <v>-2865272.02</v>
      </c>
      <c r="F36" s="262">
        <f t="shared" si="0"/>
        <v>203.0700453775585</v>
      </c>
      <c r="G36" s="231">
        <f t="shared" si="1"/>
        <v>0</v>
      </c>
      <c r="I36" s="1"/>
      <c r="J36"/>
    </row>
    <row r="37" spans="1:9" ht="15" customHeight="1">
      <c r="A37" s="232">
        <v>810000</v>
      </c>
      <c r="B37" s="167" t="s">
        <v>264</v>
      </c>
      <c r="C37" s="200">
        <f>C38+C39+C40</f>
        <v>46000</v>
      </c>
      <c r="D37" s="253">
        <f>D38+D39+D40</f>
        <v>20000</v>
      </c>
      <c r="E37" s="253">
        <f>E38+E39+E40</f>
        <v>105000</v>
      </c>
      <c r="F37" s="306">
        <f t="shared" si="0"/>
        <v>525</v>
      </c>
      <c r="G37" s="307">
        <f t="shared" si="1"/>
        <v>228.26086956521738</v>
      </c>
      <c r="I37" s="1"/>
    </row>
    <row r="38" spans="1:9" ht="14.25" customHeight="1">
      <c r="A38" s="227">
        <v>811000</v>
      </c>
      <c r="B38" s="46" t="s">
        <v>196</v>
      </c>
      <c r="C38" s="70">
        <f>'B.pr. i prim. za nef. im.'!D84</f>
        <v>0</v>
      </c>
      <c r="D38" s="189">
        <f>'B.pr. i prim. za nef. im.'!E84</f>
        <v>0</v>
      </c>
      <c r="E38" s="189">
        <f>'B.pr. i prim. za nef. im.'!F84</f>
        <v>0</v>
      </c>
      <c r="F38" s="310" t="e">
        <f t="shared" si="0"/>
        <v>#DIV/0!</v>
      </c>
      <c r="G38" s="311">
        <f t="shared" si="1"/>
        <v>0</v>
      </c>
      <c r="I38" s="1"/>
    </row>
    <row r="39" spans="1:9" ht="14.25" customHeight="1">
      <c r="A39" s="227">
        <v>813000</v>
      </c>
      <c r="B39" s="46" t="s">
        <v>183</v>
      </c>
      <c r="C39" s="70">
        <f>'B.pr. i prim. za nef. im.'!D86</f>
        <v>42000</v>
      </c>
      <c r="D39" s="189">
        <f>'B.pr. i prim. za nef. im.'!E86</f>
        <v>15000</v>
      </c>
      <c r="E39" s="189">
        <f>'B.pr. i prim. za nef. im.'!F86</f>
        <v>100000</v>
      </c>
      <c r="F39" s="310">
        <f t="shared" si="0"/>
        <v>666.6666666666667</v>
      </c>
      <c r="G39" s="311">
        <f t="shared" si="1"/>
        <v>238.0952380952381</v>
      </c>
      <c r="I39" s="1"/>
    </row>
    <row r="40" spans="1:9" ht="27" customHeight="1">
      <c r="A40" s="227">
        <v>816000</v>
      </c>
      <c r="B40" s="46" t="s">
        <v>312</v>
      </c>
      <c r="C40" s="70">
        <f>'B.pr. i prim. za nef. im.'!D88</f>
        <v>4000</v>
      </c>
      <c r="D40" s="189">
        <f>'B.pr. i prim. za nef. im.'!E88</f>
        <v>5000</v>
      </c>
      <c r="E40" s="189">
        <f>'B.pr. i prim. za nef. im.'!F88</f>
        <v>5000</v>
      </c>
      <c r="F40" s="310">
        <f t="shared" si="0"/>
        <v>100</v>
      </c>
      <c r="G40" s="311">
        <f t="shared" si="1"/>
        <v>125</v>
      </c>
      <c r="I40" s="1"/>
    </row>
    <row r="41" spans="1:9" ht="16.5" customHeight="1">
      <c r="A41" s="232">
        <v>510000</v>
      </c>
      <c r="B41" s="167" t="s">
        <v>313</v>
      </c>
      <c r="C41" s="200">
        <f>SUM(C42:C44)</f>
        <v>1327700</v>
      </c>
      <c r="D41" s="253">
        <f>SUM(D42:D44)</f>
        <v>1430977.19</v>
      </c>
      <c r="E41" s="253">
        <f>SUM(E42:E44)</f>
        <v>2970272.02</v>
      </c>
      <c r="F41" s="306">
        <f t="shared" si="0"/>
        <v>207.569487533201</v>
      </c>
      <c r="G41" s="307">
        <f t="shared" si="1"/>
        <v>223.71559990961813</v>
      </c>
      <c r="I41" s="1"/>
    </row>
    <row r="42" spans="1:9" ht="12.75">
      <c r="A42" s="227">
        <v>511000</v>
      </c>
      <c r="B42" s="46" t="s">
        <v>163</v>
      </c>
      <c r="C42" s="70">
        <f>'B.rash. i izdaci za nef. im.'!C41</f>
        <v>1262200</v>
      </c>
      <c r="D42" s="189">
        <f>'B.rash. i izdaci za nef. im.'!D41</f>
        <v>1309923.19</v>
      </c>
      <c r="E42" s="189">
        <f>'B.rash. i izdaci za nef. im.'!E41</f>
        <v>2846272.02</v>
      </c>
      <c r="F42" s="310">
        <f t="shared" si="0"/>
        <v>217.2854135058102</v>
      </c>
      <c r="G42" s="311">
        <f t="shared" si="1"/>
        <v>225.50087307875137</v>
      </c>
      <c r="I42" s="1"/>
    </row>
    <row r="43" spans="1:9" ht="12.75">
      <c r="A43" s="235">
        <v>513000</v>
      </c>
      <c r="B43" s="162" t="s">
        <v>190</v>
      </c>
      <c r="C43" s="70">
        <f>'B.rash. i izdaci za nef. im.'!C46</f>
        <v>50000</v>
      </c>
      <c r="D43" s="189">
        <f>'B.rash. i izdaci za nef. im.'!D46</f>
        <v>107000</v>
      </c>
      <c r="E43" s="189">
        <f>'B.rash. i izdaci za nef. im.'!E46</f>
        <v>110000</v>
      </c>
      <c r="F43" s="310">
        <f t="shared" si="0"/>
        <v>102.803738317757</v>
      </c>
      <c r="G43" s="311">
        <f t="shared" si="1"/>
        <v>220.00000000000003</v>
      </c>
      <c r="I43" s="1"/>
    </row>
    <row r="44" spans="1:9" ht="25.5" customHeight="1">
      <c r="A44" s="235">
        <v>516000</v>
      </c>
      <c r="B44" s="161" t="s">
        <v>387</v>
      </c>
      <c r="C44" s="70">
        <f>'B.rash. i izdaci za nef. im.'!C48</f>
        <v>15500</v>
      </c>
      <c r="D44" s="189">
        <f>'B.rash. i izdaci za nef. im.'!D48</f>
        <v>14054</v>
      </c>
      <c r="E44" s="189">
        <f>'B.rash. i izdaci za nef. im.'!E48</f>
        <v>14000</v>
      </c>
      <c r="F44" s="310">
        <f t="shared" si="0"/>
        <v>99.6157677529529</v>
      </c>
      <c r="G44" s="311">
        <f t="shared" si="1"/>
        <v>90.32258064516128</v>
      </c>
      <c r="I44" s="1"/>
    </row>
    <row r="45" spans="1:9" ht="18.75" customHeight="1">
      <c r="A45" s="235"/>
      <c r="B45" s="164" t="s">
        <v>314</v>
      </c>
      <c r="C45" s="165">
        <f>C35+C36</f>
        <v>1053100</v>
      </c>
      <c r="D45" s="266">
        <f>D35+D36</f>
        <v>1179611.3299999996</v>
      </c>
      <c r="E45" s="266">
        <f>E35+E36</f>
        <v>-527272.02</v>
      </c>
      <c r="F45" s="308">
        <f t="shared" si="0"/>
        <v>-44.69879244038798</v>
      </c>
      <c r="G45" s="478" t="s">
        <v>334</v>
      </c>
      <c r="I45" s="1"/>
    </row>
    <row r="46" spans="1:9" ht="15.75" customHeight="1">
      <c r="A46" s="235"/>
      <c r="B46" s="116" t="s">
        <v>422</v>
      </c>
      <c r="C46" s="202">
        <f>C47+C52+C59+C66</f>
        <v>-1053100</v>
      </c>
      <c r="D46" s="252">
        <f>D47+D52+D59+D66</f>
        <v>-1179611.33</v>
      </c>
      <c r="E46" s="252">
        <f>E47+E52+E59+E66</f>
        <v>527272.0200000005</v>
      </c>
      <c r="F46" s="262">
        <f t="shared" si="0"/>
        <v>-44.698792440388004</v>
      </c>
      <c r="G46" s="231">
        <f t="shared" si="1"/>
        <v>0</v>
      </c>
      <c r="I46" s="1"/>
    </row>
    <row r="47" spans="1:9" ht="17.25" customHeight="1">
      <c r="A47" s="235"/>
      <c r="B47" s="116" t="s">
        <v>315</v>
      </c>
      <c r="C47" s="202">
        <f>C48-C50</f>
        <v>0</v>
      </c>
      <c r="D47" s="252">
        <f>D48-D50</f>
        <v>0</v>
      </c>
      <c r="E47" s="252">
        <f>E48-E50</f>
        <v>0</v>
      </c>
      <c r="F47" s="262" t="e">
        <f t="shared" si="0"/>
        <v>#DIV/0!</v>
      </c>
      <c r="G47" s="231">
        <f t="shared" si="1"/>
        <v>0</v>
      </c>
      <c r="I47" s="1"/>
    </row>
    <row r="48" spans="1:9" ht="15" customHeight="1">
      <c r="A48" s="232">
        <v>910000</v>
      </c>
      <c r="B48" s="167" t="s">
        <v>316</v>
      </c>
      <c r="C48" s="200">
        <f>SUM(C49)</f>
        <v>0</v>
      </c>
      <c r="D48" s="253">
        <f>SUM(D49)</f>
        <v>0</v>
      </c>
      <c r="E48" s="253">
        <f>SUM(E49)</f>
        <v>0</v>
      </c>
      <c r="F48" s="306" t="e">
        <f t="shared" si="0"/>
        <v>#DIV/0!</v>
      </c>
      <c r="G48" s="307">
        <f t="shared" si="1"/>
        <v>0</v>
      </c>
      <c r="I48" s="1"/>
    </row>
    <row r="49" spans="1:9" ht="14.25" customHeight="1">
      <c r="A49" s="77">
        <v>911000</v>
      </c>
      <c r="B49" s="41" t="s">
        <v>317</v>
      </c>
      <c r="C49" s="100">
        <f>Finansiranje!D8</f>
        <v>0</v>
      </c>
      <c r="D49" s="190">
        <f>Finansiranje!E8</f>
        <v>0</v>
      </c>
      <c r="E49" s="190">
        <f>Finansiranje!E8</f>
        <v>0</v>
      </c>
      <c r="F49" s="310" t="e">
        <f t="shared" si="0"/>
        <v>#DIV/0!</v>
      </c>
      <c r="G49" s="311">
        <f t="shared" si="1"/>
        <v>0</v>
      </c>
      <c r="I49" s="1"/>
    </row>
    <row r="50" spans="1:9" ht="14.25" customHeight="1">
      <c r="A50" s="232">
        <v>610000</v>
      </c>
      <c r="B50" s="167" t="s">
        <v>318</v>
      </c>
      <c r="C50" s="200">
        <f>SUM(C51)</f>
        <v>0</v>
      </c>
      <c r="D50" s="253">
        <f>SUM(D51)</f>
        <v>0</v>
      </c>
      <c r="E50" s="253">
        <f>SUM(E51)</f>
        <v>0</v>
      </c>
      <c r="F50" s="306" t="e">
        <f t="shared" si="0"/>
        <v>#DIV/0!</v>
      </c>
      <c r="G50" s="307">
        <f t="shared" si="1"/>
        <v>0</v>
      </c>
      <c r="I50" s="1"/>
    </row>
    <row r="51" spans="1:9" ht="14.25" customHeight="1">
      <c r="A51" s="77">
        <v>611000</v>
      </c>
      <c r="B51" s="41" t="s">
        <v>319</v>
      </c>
      <c r="C51" s="100">
        <f>Finansiranje!D10</f>
        <v>0</v>
      </c>
      <c r="D51" s="190">
        <f>Finansiranje!E10</f>
        <v>0</v>
      </c>
      <c r="E51" s="190">
        <f>Finansiranje!E10</f>
        <v>0</v>
      </c>
      <c r="F51" s="310" t="e">
        <f t="shared" si="0"/>
        <v>#DIV/0!</v>
      </c>
      <c r="G51" s="311">
        <f t="shared" si="1"/>
        <v>0</v>
      </c>
      <c r="I51" s="1"/>
    </row>
    <row r="52" spans="1:9" ht="14.25" customHeight="1">
      <c r="A52" s="77"/>
      <c r="B52" s="116" t="s">
        <v>320</v>
      </c>
      <c r="C52" s="202">
        <f>C53-C55</f>
        <v>-656500</v>
      </c>
      <c r="D52" s="252">
        <f>D53-D55</f>
        <v>-627425</v>
      </c>
      <c r="E52" s="252">
        <f>E53-E55</f>
        <v>118272.02000000048</v>
      </c>
      <c r="F52" s="262">
        <f t="shared" si="0"/>
        <v>-18.850383711200617</v>
      </c>
      <c r="G52" s="231">
        <f t="shared" si="1"/>
        <v>0</v>
      </c>
      <c r="I52" s="1"/>
    </row>
    <row r="53" spans="1:9" ht="15" customHeight="1">
      <c r="A53" s="232">
        <v>920000</v>
      </c>
      <c r="B53" s="167" t="s">
        <v>321</v>
      </c>
      <c r="C53" s="200">
        <f>SUM(C54)</f>
        <v>0</v>
      </c>
      <c r="D53" s="253">
        <f>SUM(D54)</f>
        <v>0</v>
      </c>
      <c r="E53" s="253">
        <f>SUM(E54)</f>
        <v>7000000</v>
      </c>
      <c r="F53" s="306" t="e">
        <f t="shared" si="0"/>
        <v>#DIV/0!</v>
      </c>
      <c r="G53" s="307">
        <f t="shared" si="1"/>
        <v>0</v>
      </c>
      <c r="I53" s="1"/>
    </row>
    <row r="54" spans="1:9" ht="14.25" customHeight="1">
      <c r="A54" s="77">
        <v>921000</v>
      </c>
      <c r="B54" s="88" t="s">
        <v>322</v>
      </c>
      <c r="C54" s="70">
        <f>Finansiranje!C13</f>
        <v>0</v>
      </c>
      <c r="D54" s="70">
        <f>Finansiranje!D13</f>
        <v>0</v>
      </c>
      <c r="E54" s="70">
        <f>Finansiranje!E13</f>
        <v>7000000</v>
      </c>
      <c r="F54" s="310" t="e">
        <f t="shared" si="0"/>
        <v>#DIV/0!</v>
      </c>
      <c r="G54" s="311">
        <f t="shared" si="1"/>
        <v>0</v>
      </c>
      <c r="I54" s="1"/>
    </row>
    <row r="55" spans="1:9" ht="14.25" customHeight="1">
      <c r="A55" s="232">
        <v>620000</v>
      </c>
      <c r="B55" s="167" t="s">
        <v>323</v>
      </c>
      <c r="C55" s="200">
        <f>SUM(C56:C58)</f>
        <v>656500</v>
      </c>
      <c r="D55" s="200">
        <f>SUM(D56:D58)</f>
        <v>627425</v>
      </c>
      <c r="E55" s="200">
        <f>SUM(E56:E58)</f>
        <v>6881727.9799999995</v>
      </c>
      <c r="F55" s="306">
        <f t="shared" si="0"/>
        <v>1096.8208120492488</v>
      </c>
      <c r="G55" s="307">
        <f t="shared" si="1"/>
        <v>1048.2449322162986</v>
      </c>
      <c r="I55" s="1"/>
    </row>
    <row r="56" spans="1:9" ht="15.75" customHeight="1">
      <c r="A56" s="77">
        <v>621300</v>
      </c>
      <c r="B56" s="88" t="s">
        <v>491</v>
      </c>
      <c r="C56" s="70">
        <f>Finansiranje!C15</f>
        <v>631500</v>
      </c>
      <c r="D56" s="189">
        <f>Finansiranje!D15</f>
        <v>627425</v>
      </c>
      <c r="E56" s="189">
        <f>Finansiranje!E15</f>
        <v>6768227.9799999995</v>
      </c>
      <c r="F56" s="310">
        <f t="shared" si="0"/>
        <v>1078.73100051799</v>
      </c>
      <c r="G56" s="311">
        <f t="shared" si="1"/>
        <v>1071.7700680918447</v>
      </c>
      <c r="I56" s="1"/>
    </row>
    <row r="57" spans="1:9" ht="14.25" customHeight="1">
      <c r="A57" s="77">
        <v>621400</v>
      </c>
      <c r="B57" s="374" t="s">
        <v>490</v>
      </c>
      <c r="C57" s="70">
        <f>Finansiranje!C16</f>
        <v>0</v>
      </c>
      <c r="D57" s="70">
        <f>Finansiranje!D16</f>
        <v>0</v>
      </c>
      <c r="E57" s="70">
        <f>Finansiranje!E16</f>
        <v>88500</v>
      </c>
      <c r="F57" s="310" t="e">
        <f t="shared" si="0"/>
        <v>#DIV/0!</v>
      </c>
      <c r="G57" s="311">
        <f t="shared" si="1"/>
        <v>0</v>
      </c>
      <c r="I57" s="1"/>
    </row>
    <row r="58" spans="1:9" ht="14.25" customHeight="1">
      <c r="A58" s="77">
        <v>621900</v>
      </c>
      <c r="B58" s="88" t="s">
        <v>380</v>
      </c>
      <c r="C58" s="70">
        <f>Finansiranje!C17</f>
        <v>25000</v>
      </c>
      <c r="D58" s="70">
        <f>Finansiranje!D17</f>
        <v>0</v>
      </c>
      <c r="E58" s="70">
        <f>Finansiranje!E17</f>
        <v>25000</v>
      </c>
      <c r="F58" s="310" t="e">
        <f t="shared" si="0"/>
        <v>#DIV/0!</v>
      </c>
      <c r="G58" s="311">
        <f t="shared" si="1"/>
        <v>100</v>
      </c>
      <c r="I58" s="1"/>
    </row>
    <row r="59" spans="1:9" ht="14.25" customHeight="1">
      <c r="A59" s="77"/>
      <c r="B59" s="116" t="s">
        <v>423</v>
      </c>
      <c r="C59" s="202">
        <f>C60-C63</f>
        <v>-516600</v>
      </c>
      <c r="D59" s="252">
        <f>D60-D63</f>
        <v>-552186.33</v>
      </c>
      <c r="E59" s="252">
        <f>E60-E63</f>
        <v>-3000</v>
      </c>
      <c r="F59" s="262">
        <f t="shared" si="0"/>
        <v>0.5432948693242732</v>
      </c>
      <c r="G59" s="231">
        <f t="shared" si="1"/>
        <v>0</v>
      </c>
      <c r="I59" s="1"/>
    </row>
    <row r="60" spans="1:9" ht="14.25" customHeight="1">
      <c r="A60" s="232">
        <v>930000</v>
      </c>
      <c r="B60" s="167" t="s">
        <v>424</v>
      </c>
      <c r="C60" s="200">
        <f>SUM(C62)</f>
        <v>64800</v>
      </c>
      <c r="D60" s="253">
        <f>SUM(D62)</f>
        <v>49000</v>
      </c>
      <c r="E60" s="253">
        <f>SUM(E62)</f>
        <v>78000</v>
      </c>
      <c r="F60" s="306">
        <f t="shared" si="0"/>
        <v>159.18367346938774</v>
      </c>
      <c r="G60" s="307">
        <f t="shared" si="1"/>
        <v>120.37037037037037</v>
      </c>
      <c r="I60" s="1"/>
    </row>
    <row r="61" spans="1:9" ht="14.25" customHeight="1">
      <c r="A61" s="227">
        <v>931000</v>
      </c>
      <c r="B61" s="46" t="s">
        <v>425</v>
      </c>
      <c r="C61" s="288">
        <v>0</v>
      </c>
      <c r="D61" s="289">
        <v>0</v>
      </c>
      <c r="E61" s="289">
        <f>Finansiranje!E21</f>
        <v>0</v>
      </c>
      <c r="F61" s="310"/>
      <c r="G61" s="311">
        <f t="shared" si="1"/>
        <v>0</v>
      </c>
      <c r="I61" s="1"/>
    </row>
    <row r="62" spans="1:9" ht="14.25" customHeight="1">
      <c r="A62" s="227">
        <v>938000</v>
      </c>
      <c r="B62" s="88" t="s">
        <v>505</v>
      </c>
      <c r="C62" s="70">
        <f>Finansiranje!C22</f>
        <v>64800</v>
      </c>
      <c r="D62" s="189">
        <f>Finansiranje!D22</f>
        <v>49000</v>
      </c>
      <c r="E62" s="189">
        <f>Finansiranje!E22</f>
        <v>78000</v>
      </c>
      <c r="F62" s="310">
        <f t="shared" si="0"/>
        <v>159.18367346938774</v>
      </c>
      <c r="G62" s="311">
        <f t="shared" si="1"/>
        <v>120.37037037037037</v>
      </c>
      <c r="I62" s="1"/>
    </row>
    <row r="63" spans="1:9" ht="14.25" customHeight="1">
      <c r="A63" s="232">
        <v>630000</v>
      </c>
      <c r="B63" s="167" t="s">
        <v>426</v>
      </c>
      <c r="C63" s="200">
        <f>SUM(C64:C65)</f>
        <v>581400</v>
      </c>
      <c r="D63" s="200">
        <f>SUM(D64:D65)</f>
        <v>601186.33</v>
      </c>
      <c r="E63" s="200">
        <f>SUM(E64:E65)</f>
        <v>81000</v>
      </c>
      <c r="F63" s="306">
        <f t="shared" si="0"/>
        <v>13.473360247562516</v>
      </c>
      <c r="G63" s="307">
        <f t="shared" si="1"/>
        <v>13.93188854489164</v>
      </c>
      <c r="I63" s="1"/>
    </row>
    <row r="64" spans="1:9" ht="14.25" customHeight="1">
      <c r="A64" s="77">
        <v>631000</v>
      </c>
      <c r="B64" s="88" t="s">
        <v>427</v>
      </c>
      <c r="C64" s="70">
        <f>Finansiranje!C26</f>
        <v>517000</v>
      </c>
      <c r="D64" s="70">
        <f>Finansiranje!D26</f>
        <v>527000</v>
      </c>
      <c r="E64" s="70">
        <f>Finansiranje!E26</f>
        <v>3000</v>
      </c>
      <c r="F64" s="310">
        <f t="shared" si="0"/>
        <v>0.5692599620493358</v>
      </c>
      <c r="G64" s="311">
        <f t="shared" si="1"/>
        <v>0.5802707930367506</v>
      </c>
      <c r="I64" s="1"/>
    </row>
    <row r="65" spans="1:9" ht="14.25" customHeight="1">
      <c r="A65" s="77">
        <v>638000</v>
      </c>
      <c r="B65" s="88" t="s">
        <v>434</v>
      </c>
      <c r="C65" s="70">
        <f>Finansiranje!C29</f>
        <v>64400</v>
      </c>
      <c r="D65" s="70">
        <f>Finansiranje!D29</f>
        <v>74186.33</v>
      </c>
      <c r="E65" s="70">
        <f>Finansiranje!E29</f>
        <v>78000</v>
      </c>
      <c r="F65" s="310"/>
      <c r="G65" s="311">
        <f t="shared" si="1"/>
        <v>121.11801242236024</v>
      </c>
      <c r="I65" s="1"/>
    </row>
    <row r="66" spans="1:9" ht="21.75" customHeight="1">
      <c r="A66" s="77"/>
      <c r="B66" s="220" t="s">
        <v>429</v>
      </c>
      <c r="C66" s="202">
        <f>Finansiranje!C32</f>
        <v>120000</v>
      </c>
      <c r="D66" s="252">
        <f>Finansiranje!D32</f>
        <v>0</v>
      </c>
      <c r="E66" s="252">
        <f>Finansiranje!E32</f>
        <v>412000</v>
      </c>
      <c r="F66" s="262" t="e">
        <f t="shared" si="0"/>
        <v>#DIV/0!</v>
      </c>
      <c r="G66" s="231">
        <f t="shared" si="1"/>
        <v>343.3333333333333</v>
      </c>
      <c r="I66" s="1"/>
    </row>
    <row r="67" spans="1:9" ht="20.25" customHeight="1" thickBot="1">
      <c r="A67" s="228"/>
      <c r="B67" s="236" t="s">
        <v>428</v>
      </c>
      <c r="C67" s="221">
        <f>C45+C46</f>
        <v>0</v>
      </c>
      <c r="D67" s="221">
        <f>D45+D46</f>
        <v>0</v>
      </c>
      <c r="E67" s="221">
        <f>E45+E46</f>
        <v>0</v>
      </c>
      <c r="F67" s="267" t="s">
        <v>334</v>
      </c>
      <c r="G67" s="237" t="s">
        <v>334</v>
      </c>
      <c r="I67" s="1"/>
    </row>
    <row r="68" spans="1:6" ht="18" customHeight="1" thickTop="1">
      <c r="A68" s="149"/>
      <c r="B68" s="147"/>
      <c r="C68" s="150"/>
      <c r="D68" s="150"/>
      <c r="E68" s="150"/>
      <c r="F68" s="150"/>
    </row>
    <row r="69" spans="1:6" ht="18" customHeight="1">
      <c r="A69" s="3"/>
      <c r="B69" s="147"/>
      <c r="C69" s="147"/>
      <c r="D69" s="147"/>
      <c r="E69" s="147"/>
      <c r="F69" s="147"/>
    </row>
    <row r="70" spans="1:7" ht="14.25" customHeight="1">
      <c r="A70" s="3"/>
      <c r="B70" s="147"/>
      <c r="C70" s="147"/>
      <c r="D70" s="147"/>
      <c r="E70" s="147"/>
      <c r="F70" s="147"/>
      <c r="G70" s="1"/>
    </row>
    <row r="71" spans="1:10" ht="16.5" customHeight="1">
      <c r="A71" s="3"/>
      <c r="B71" s="386"/>
      <c r="C71" s="147"/>
      <c r="D71" s="147"/>
      <c r="E71" s="147"/>
      <c r="F71" s="147"/>
      <c r="J71" s="1"/>
    </row>
    <row r="72" spans="1:6" ht="16.5" customHeight="1">
      <c r="A72" s="4"/>
      <c r="C72" s="150"/>
      <c r="D72" s="150"/>
      <c r="E72" s="150"/>
      <c r="F72" s="150"/>
    </row>
    <row r="73" spans="1:2" ht="15.75" customHeight="1">
      <c r="A73" s="150"/>
      <c r="B73" s="150"/>
    </row>
    <row r="74" spans="1:2" ht="12.75">
      <c r="A74" s="150"/>
      <c r="B74" s="150"/>
    </row>
    <row r="75" spans="1:6" ht="17.25" customHeight="1">
      <c r="A75" s="150"/>
      <c r="B75" s="150"/>
      <c r="C75" s="150"/>
      <c r="D75" s="150"/>
      <c r="E75" s="150"/>
      <c r="F75" s="150"/>
    </row>
    <row r="76" spans="1:6" ht="12.75">
      <c r="A76" s="150"/>
      <c r="B76" s="150"/>
      <c r="C76" s="150"/>
      <c r="D76" s="150"/>
      <c r="E76" s="150"/>
      <c r="F76" s="150"/>
    </row>
    <row r="77" spans="1:6" ht="12.75">
      <c r="A77" s="150"/>
      <c r="B77" s="150"/>
      <c r="C77" s="151"/>
      <c r="D77" s="151"/>
      <c r="E77" s="151"/>
      <c r="F77" s="151"/>
    </row>
    <row r="78" spans="1:2" ht="12.75">
      <c r="A78" s="150"/>
      <c r="B78" s="150"/>
    </row>
    <row r="79" spans="1:2" ht="23.25" customHeight="1">
      <c r="A79" s="150"/>
      <c r="B79" s="150"/>
    </row>
    <row r="80" spans="1:2" ht="16.5" customHeight="1">
      <c r="A80" s="150"/>
      <c r="B80" s="150"/>
    </row>
    <row r="81" spans="1:2" ht="12.75">
      <c r="A81" s="150"/>
      <c r="B81" s="150"/>
    </row>
    <row r="82" spans="1:2" ht="12.75">
      <c r="A82" s="150"/>
      <c r="B82" s="150"/>
    </row>
    <row r="83" spans="1:2" ht="15" customHeight="1">
      <c r="A83" s="150"/>
      <c r="B83" s="150"/>
    </row>
    <row r="84" spans="1:2" ht="12.75">
      <c r="A84" s="150"/>
      <c r="B84" s="150"/>
    </row>
    <row r="85" spans="1:2" ht="26.25" customHeight="1">
      <c r="A85" s="150"/>
      <c r="B85" s="150"/>
    </row>
    <row r="86" spans="1:2" ht="12.75">
      <c r="A86" s="150"/>
      <c r="B86" s="150"/>
    </row>
    <row r="87" spans="1:2" ht="12.75">
      <c r="A87" s="150"/>
      <c r="B87" s="150"/>
    </row>
    <row r="88" spans="1:2" ht="12.75">
      <c r="A88" s="150"/>
      <c r="B88" s="150"/>
    </row>
    <row r="89" spans="1:2" ht="12.75">
      <c r="A89" s="150"/>
      <c r="B89" s="150"/>
    </row>
    <row r="90" spans="1:2" ht="12.75">
      <c r="A90" s="150"/>
      <c r="B90" s="150"/>
    </row>
    <row r="91" spans="1:2" ht="12.75">
      <c r="A91" s="150"/>
      <c r="B91" s="150"/>
    </row>
    <row r="92" spans="1:2" ht="15.75" customHeight="1">
      <c r="A92" s="150"/>
      <c r="B92" s="150"/>
    </row>
    <row r="93" spans="1:8" ht="12.75">
      <c r="A93" s="150"/>
      <c r="B93" s="150"/>
      <c r="G93" s="2"/>
      <c r="H93" s="2"/>
    </row>
    <row r="94" spans="1:2" ht="12.75">
      <c r="A94" s="150"/>
      <c r="B94" s="150"/>
    </row>
    <row r="95" spans="1:2" ht="12.75">
      <c r="A95" s="150"/>
      <c r="B95" s="150"/>
    </row>
    <row r="96" spans="1:2" ht="12.75" customHeight="1">
      <c r="A96" s="150"/>
      <c r="B96" s="150"/>
    </row>
    <row r="97" spans="1:2" ht="12.75">
      <c r="A97" s="150"/>
      <c r="B97" s="150"/>
    </row>
    <row r="98" spans="1:2" ht="12.75">
      <c r="A98" s="150"/>
      <c r="B98" s="150"/>
    </row>
    <row r="99" spans="1:2" ht="12.75">
      <c r="A99" s="150"/>
      <c r="B99" s="150"/>
    </row>
    <row r="100" spans="1:2" ht="12.75">
      <c r="A100" s="150"/>
      <c r="B100" s="150"/>
    </row>
    <row r="101" spans="1:2" ht="12.75">
      <c r="A101" s="150"/>
      <c r="B101" s="150"/>
    </row>
    <row r="102" spans="1:2" ht="12.75">
      <c r="A102" s="150"/>
      <c r="B102" s="150"/>
    </row>
    <row r="103" spans="1:2" ht="12.75">
      <c r="A103" s="150"/>
      <c r="B103" s="150"/>
    </row>
    <row r="104" spans="1:2" ht="12.75">
      <c r="A104" s="150"/>
      <c r="B104" s="150"/>
    </row>
    <row r="105" spans="1:2" ht="12.75">
      <c r="A105" s="150"/>
      <c r="B105" s="150"/>
    </row>
    <row r="106" spans="1:2" ht="12.75">
      <c r="A106" s="150"/>
      <c r="B106" s="150"/>
    </row>
    <row r="107" spans="1:2" ht="12.75">
      <c r="A107" s="150"/>
      <c r="B107" s="150"/>
    </row>
    <row r="108" spans="1:2" ht="12.75">
      <c r="A108" s="150"/>
      <c r="B108" s="150"/>
    </row>
    <row r="109" spans="1:9" s="148" customFormat="1" ht="12.75">
      <c r="A109" s="150"/>
      <c r="B109" s="150"/>
      <c r="G109"/>
      <c r="H109"/>
      <c r="I109"/>
    </row>
    <row r="110" spans="1:9" s="148" customFormat="1" ht="12.75">
      <c r="A110" s="150"/>
      <c r="B110" s="150"/>
      <c r="G110"/>
      <c r="H110"/>
      <c r="I110"/>
    </row>
    <row r="111" spans="1:9" s="148" customFormat="1" ht="12.75">
      <c r="A111" s="150"/>
      <c r="B111" s="150"/>
      <c r="G111"/>
      <c r="H111"/>
      <c r="I111"/>
    </row>
    <row r="112" spans="1:9" s="148" customFormat="1" ht="12.75">
      <c r="A112" s="150"/>
      <c r="B112" s="150"/>
      <c r="G112"/>
      <c r="H112"/>
      <c r="I112"/>
    </row>
    <row r="113" spans="1:9" s="148" customFormat="1" ht="12.75">
      <c r="A113" s="150"/>
      <c r="B113" s="150"/>
      <c r="G113"/>
      <c r="H113"/>
      <c r="I113"/>
    </row>
    <row r="114" spans="1:9" s="148" customFormat="1" ht="12.75">
      <c r="A114" s="150"/>
      <c r="B114" s="150"/>
      <c r="G114"/>
      <c r="H114"/>
      <c r="I114"/>
    </row>
    <row r="115" spans="1:9" s="148" customFormat="1" ht="12.75">
      <c r="A115" s="150"/>
      <c r="B115" s="150"/>
      <c r="G115"/>
      <c r="H115"/>
      <c r="I115"/>
    </row>
    <row r="116" spans="1:9" s="148" customFormat="1" ht="12.75">
      <c r="A116" s="150"/>
      <c r="B116" s="150"/>
      <c r="G116"/>
      <c r="H116"/>
      <c r="I116"/>
    </row>
    <row r="117" spans="1:9" s="148" customFormat="1" ht="12.75">
      <c r="A117" s="150"/>
      <c r="B117" s="150"/>
      <c r="G117"/>
      <c r="H117"/>
      <c r="I117"/>
    </row>
    <row r="118" spans="1:9" s="148" customFormat="1" ht="12.75">
      <c r="A118" s="150"/>
      <c r="B118" s="150"/>
      <c r="G118"/>
      <c r="H118"/>
      <c r="I118"/>
    </row>
    <row r="119" spans="1:9" s="148" customFormat="1" ht="12.75">
      <c r="A119" s="150"/>
      <c r="B119" s="150"/>
      <c r="G119"/>
      <c r="H119"/>
      <c r="I119"/>
    </row>
    <row r="120" spans="1:9" s="148" customFormat="1" ht="12.75">
      <c r="A120" s="150"/>
      <c r="B120" s="150"/>
      <c r="G120"/>
      <c r="H120"/>
      <c r="I120"/>
    </row>
    <row r="121" spans="1:9" s="148" customFormat="1" ht="12.75">
      <c r="A121" s="150"/>
      <c r="B121" s="150"/>
      <c r="G121"/>
      <c r="H121"/>
      <c r="I121"/>
    </row>
    <row r="122" spans="1:9" s="148" customFormat="1" ht="12.75">
      <c r="A122" s="150"/>
      <c r="B122" s="150"/>
      <c r="G122"/>
      <c r="H122"/>
      <c r="I122"/>
    </row>
    <row r="123" spans="1:9" s="148" customFormat="1" ht="12.75">
      <c r="A123" s="150"/>
      <c r="B123" s="150"/>
      <c r="G123"/>
      <c r="H123"/>
      <c r="I123"/>
    </row>
    <row r="124" spans="1:9" s="148" customFormat="1" ht="12.75">
      <c r="A124" s="150"/>
      <c r="B124" s="150"/>
      <c r="G124"/>
      <c r="H124"/>
      <c r="I124"/>
    </row>
    <row r="125" spans="1:9" s="148" customFormat="1" ht="12.75">
      <c r="A125" s="150"/>
      <c r="B125" s="150"/>
      <c r="G125"/>
      <c r="H125"/>
      <c r="I125"/>
    </row>
    <row r="126" spans="1:9" s="148" customFormat="1" ht="12.75">
      <c r="A126" s="150"/>
      <c r="B126" s="150"/>
      <c r="G126"/>
      <c r="H126"/>
      <c r="I126"/>
    </row>
    <row r="127" spans="1:9" s="148" customFormat="1" ht="12.75">
      <c r="A127" s="150"/>
      <c r="B127" s="150"/>
      <c r="G127"/>
      <c r="H127"/>
      <c r="I127"/>
    </row>
    <row r="128" spans="1:9" s="148" customFormat="1" ht="12.75">
      <c r="A128" s="150"/>
      <c r="B128" s="150"/>
      <c r="G128"/>
      <c r="H128"/>
      <c r="I128"/>
    </row>
    <row r="129" spans="1:9" s="148" customFormat="1" ht="12.75">
      <c r="A129" s="150"/>
      <c r="B129" s="150"/>
      <c r="G129"/>
      <c r="H129"/>
      <c r="I129"/>
    </row>
    <row r="130" spans="1:9" s="148" customFormat="1" ht="12.75">
      <c r="A130" s="150"/>
      <c r="B130" s="150"/>
      <c r="G130"/>
      <c r="H130"/>
      <c r="I130"/>
    </row>
    <row r="131" spans="1:9" s="148" customFormat="1" ht="12.75">
      <c r="A131" s="150"/>
      <c r="B131" s="150"/>
      <c r="G131"/>
      <c r="H131"/>
      <c r="I131"/>
    </row>
    <row r="132" spans="1:9" s="148" customFormat="1" ht="12.75">
      <c r="A132" s="150"/>
      <c r="B132" s="150"/>
      <c r="G132"/>
      <c r="H132"/>
      <c r="I132"/>
    </row>
    <row r="133" spans="1:9" s="148" customFormat="1" ht="12.75">
      <c r="A133" s="150"/>
      <c r="B133" s="150"/>
      <c r="G133"/>
      <c r="H133"/>
      <c r="I133"/>
    </row>
    <row r="134" spans="1:9" s="148" customFormat="1" ht="12.75">
      <c r="A134" s="150"/>
      <c r="B134" s="150"/>
      <c r="G134"/>
      <c r="H134"/>
      <c r="I134"/>
    </row>
    <row r="135" spans="1:9" s="148" customFormat="1" ht="12.75">
      <c r="A135" s="150"/>
      <c r="B135" s="150"/>
      <c r="G135"/>
      <c r="H135"/>
      <c r="I135"/>
    </row>
    <row r="136" spans="1:9" s="148" customFormat="1" ht="12.75">
      <c r="A136" s="150"/>
      <c r="B136" s="150"/>
      <c r="G136"/>
      <c r="H136"/>
      <c r="I136"/>
    </row>
    <row r="137" spans="1:9" s="148" customFormat="1" ht="12.75">
      <c r="A137" s="150"/>
      <c r="B137" s="150"/>
      <c r="G137"/>
      <c r="H137"/>
      <c r="I137"/>
    </row>
    <row r="138" spans="1:9" s="148" customFormat="1" ht="12.75">
      <c r="A138" s="150"/>
      <c r="B138" s="150"/>
      <c r="G138"/>
      <c r="H138"/>
      <c r="I138"/>
    </row>
    <row r="139" spans="1:9" s="148" customFormat="1" ht="12.75">
      <c r="A139" s="150"/>
      <c r="B139" s="150"/>
      <c r="G139"/>
      <c r="H139"/>
      <c r="I139"/>
    </row>
    <row r="140" spans="1:9" s="148" customFormat="1" ht="12.75">
      <c r="A140" s="150"/>
      <c r="B140" s="150"/>
      <c r="G140"/>
      <c r="H140"/>
      <c r="I140"/>
    </row>
    <row r="141" spans="1:6" ht="12.75">
      <c r="A141" s="150"/>
      <c r="B141" s="3"/>
      <c r="C141" s="150"/>
      <c r="D141" s="150"/>
      <c r="E141" s="150"/>
      <c r="F141" s="150"/>
    </row>
    <row r="142" spans="1:6" ht="12.75">
      <c r="A142" s="4"/>
      <c r="B142" s="3"/>
      <c r="C142" s="150"/>
      <c r="D142" s="150"/>
      <c r="E142" s="150"/>
      <c r="F142" s="150"/>
    </row>
    <row r="143" spans="1:6" ht="12.75">
      <c r="A143" s="4"/>
      <c r="B143" s="3"/>
      <c r="C143" s="150"/>
      <c r="D143" s="150"/>
      <c r="E143" s="150"/>
      <c r="F143" s="150"/>
    </row>
    <row r="144" spans="1:6" ht="12.75">
      <c r="A144" s="4"/>
      <c r="B144" s="3"/>
      <c r="C144" s="150"/>
      <c r="D144" s="150"/>
      <c r="E144" s="150"/>
      <c r="F144" s="150"/>
    </row>
    <row r="145" spans="1:6" ht="12.75">
      <c r="A145" s="4"/>
      <c r="B145" s="3"/>
      <c r="C145" s="150"/>
      <c r="D145" s="150"/>
      <c r="E145" s="150"/>
      <c r="F145" s="150"/>
    </row>
    <row r="146" spans="1:6" ht="12.75">
      <c r="A146" s="4"/>
      <c r="B146" s="3"/>
      <c r="C146" s="150"/>
      <c r="D146" s="150"/>
      <c r="E146" s="150"/>
      <c r="F146" s="150"/>
    </row>
    <row r="147" spans="1:6" ht="12.75">
      <c r="A147" s="4"/>
      <c r="B147" s="3"/>
      <c r="C147" s="150"/>
      <c r="D147" s="150"/>
      <c r="E147" s="150"/>
      <c r="F147" s="150"/>
    </row>
    <row r="148" spans="1:6" ht="12.75">
      <c r="A148" s="4"/>
      <c r="B148" s="3"/>
      <c r="C148" s="150"/>
      <c r="D148" s="150"/>
      <c r="E148" s="150"/>
      <c r="F148" s="150"/>
    </row>
    <row r="149" spans="1:6" ht="12.75">
      <c r="A149" s="4"/>
      <c r="B149" s="3"/>
      <c r="C149" s="150"/>
      <c r="D149" s="150"/>
      <c r="E149" s="150"/>
      <c r="F149" s="150"/>
    </row>
    <row r="150" spans="1:6" ht="12.75">
      <c r="A150" s="4"/>
      <c r="B150" s="3"/>
      <c r="C150" s="150"/>
      <c r="D150" s="150"/>
      <c r="E150" s="150"/>
      <c r="F150" s="150"/>
    </row>
    <row r="151" spans="1:6" ht="12.75">
      <c r="A151" s="4"/>
      <c r="B151" s="3"/>
      <c r="C151" s="150"/>
      <c r="D151" s="150"/>
      <c r="E151" s="150"/>
      <c r="F151" s="150"/>
    </row>
    <row r="152" spans="1:6" ht="12.75">
      <c r="A152" s="4"/>
      <c r="B152" s="3"/>
      <c r="C152" s="150"/>
      <c r="D152" s="150"/>
      <c r="E152" s="150"/>
      <c r="F152" s="150"/>
    </row>
    <row r="153" spans="1:8" s="148" customFormat="1" ht="12.75">
      <c r="A153" s="4"/>
      <c r="B153" s="3"/>
      <c r="C153" s="150"/>
      <c r="D153" s="150"/>
      <c r="E153" s="150"/>
      <c r="F153" s="150"/>
      <c r="G153"/>
      <c r="H153"/>
    </row>
    <row r="154" spans="1:8" s="148" customFormat="1" ht="12.75">
      <c r="A154" s="4"/>
      <c r="B154" s="3"/>
      <c r="C154" s="150"/>
      <c r="D154" s="150"/>
      <c r="E154" s="150"/>
      <c r="F154" s="150"/>
      <c r="G154"/>
      <c r="H154"/>
    </row>
    <row r="155" spans="1:8" s="148" customFormat="1" ht="12.75">
      <c r="A155" s="4"/>
      <c r="B155" s="3"/>
      <c r="C155" s="150"/>
      <c r="D155" s="150"/>
      <c r="E155" s="150"/>
      <c r="F155" s="150"/>
      <c r="G155"/>
      <c r="H155"/>
    </row>
    <row r="156" spans="1:8" s="148" customFormat="1" ht="12.75">
      <c r="A156" s="4"/>
      <c r="B156" s="3"/>
      <c r="C156" s="150"/>
      <c r="D156" s="150"/>
      <c r="E156" s="150"/>
      <c r="F156" s="150"/>
      <c r="G156"/>
      <c r="H156"/>
    </row>
    <row r="157" spans="1:8" s="148" customFormat="1" ht="12.75">
      <c r="A157" s="4"/>
      <c r="B157" s="3"/>
      <c r="C157" s="150"/>
      <c r="D157" s="150"/>
      <c r="E157" s="150"/>
      <c r="F157" s="150"/>
      <c r="G157"/>
      <c r="H157"/>
    </row>
    <row r="158" spans="1:8" s="148" customFormat="1" ht="12.75">
      <c r="A158" s="4"/>
      <c r="B158" s="3"/>
      <c r="C158" s="150"/>
      <c r="D158" s="150"/>
      <c r="E158" s="150"/>
      <c r="F158" s="150"/>
      <c r="G158"/>
      <c r="H158"/>
    </row>
    <row r="159" spans="1:8" s="148" customFormat="1" ht="12.75">
      <c r="A159" s="4"/>
      <c r="B159" s="3"/>
      <c r="C159" s="150"/>
      <c r="D159" s="150"/>
      <c r="E159" s="150"/>
      <c r="F159" s="150"/>
      <c r="G159"/>
      <c r="H159"/>
    </row>
    <row r="160" spans="1:8" s="148" customFormat="1" ht="12.75">
      <c r="A160" s="4"/>
      <c r="B160" s="3"/>
      <c r="C160" s="150"/>
      <c r="D160" s="150"/>
      <c r="E160" s="150"/>
      <c r="F160" s="150"/>
      <c r="G160"/>
      <c r="H160"/>
    </row>
    <row r="161" spans="1:8" s="148" customFormat="1" ht="12.75">
      <c r="A161" s="4"/>
      <c r="B161" s="3"/>
      <c r="C161" s="150"/>
      <c r="D161" s="150"/>
      <c r="E161" s="150"/>
      <c r="F161" s="150"/>
      <c r="G161"/>
      <c r="H161"/>
    </row>
    <row r="162" spans="1:8" s="148" customFormat="1" ht="12.75">
      <c r="A162" s="4"/>
      <c r="B162" s="3"/>
      <c r="C162" s="150"/>
      <c r="D162" s="150"/>
      <c r="E162" s="150"/>
      <c r="F162" s="150"/>
      <c r="G162"/>
      <c r="H162"/>
    </row>
    <row r="163" spans="1:8" s="148" customFormat="1" ht="12.75">
      <c r="A163" s="4"/>
      <c r="B163" s="3"/>
      <c r="C163" s="150"/>
      <c r="D163" s="150"/>
      <c r="E163" s="150"/>
      <c r="F163" s="150"/>
      <c r="G163"/>
      <c r="H163"/>
    </row>
    <row r="164" spans="1:8" s="148" customFormat="1" ht="12.75">
      <c r="A164" s="4"/>
      <c r="B164" s="3"/>
      <c r="C164" s="150"/>
      <c r="D164" s="150"/>
      <c r="E164" s="150"/>
      <c r="F164" s="150"/>
      <c r="G164"/>
      <c r="H164"/>
    </row>
    <row r="165" spans="1:8" s="148" customFormat="1" ht="12.75">
      <c r="A165" s="4"/>
      <c r="B165" s="3"/>
      <c r="C165" s="150"/>
      <c r="D165" s="150"/>
      <c r="E165" s="150"/>
      <c r="F165" s="150"/>
      <c r="G165"/>
      <c r="H165"/>
    </row>
    <row r="166" spans="1:8" s="148" customFormat="1" ht="12.75">
      <c r="A166" s="4"/>
      <c r="B166" s="3"/>
      <c r="C166" s="150"/>
      <c r="D166" s="150"/>
      <c r="E166" s="150"/>
      <c r="F166" s="150"/>
      <c r="G166"/>
      <c r="H166"/>
    </row>
    <row r="167" spans="1:8" s="148" customFormat="1" ht="12.75">
      <c r="A167" s="4"/>
      <c r="B167"/>
      <c r="C167" s="150"/>
      <c r="D167" s="150"/>
      <c r="E167" s="150"/>
      <c r="F167" s="150"/>
      <c r="G167"/>
      <c r="H167"/>
    </row>
  </sheetData>
  <sheetProtection/>
  <mergeCells count="8">
    <mergeCell ref="A1:G1"/>
    <mergeCell ref="G2:G3"/>
    <mergeCell ref="A2:A3"/>
    <mergeCell ref="B2:B3"/>
    <mergeCell ref="C2:C3"/>
    <mergeCell ref="F2:F3"/>
    <mergeCell ref="D2:D3"/>
    <mergeCell ref="E2:E3"/>
  </mergeCells>
  <printOptions horizontalCentered="1"/>
  <pageMargins left="0.16" right="0.17" top="0.35" bottom="0.29" header="0.275590551181102" footer="0.16"/>
  <pageSetup horizontalDpi="600" verticalDpi="600" orientation="landscape" paperSize="9" scale="110" r:id="rId1"/>
  <headerFooter alignWithMargins="0">
    <oddFooter>&amp;R&amp;P</oddFooter>
  </headerFooter>
  <rowBreaks count="2" manualBreakCount="2">
    <brk id="30" max="6" man="1"/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pane ySplit="3" topLeftCell="A91" activePane="bottomLeft" state="frozen"/>
      <selection pane="topLeft" activeCell="A1" sqref="A1"/>
      <selection pane="bottomLeft" activeCell="B93" sqref="B93:J99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52.140625" style="0" customWidth="1"/>
    <col min="4" max="4" width="14.421875" style="148" customWidth="1"/>
    <col min="5" max="5" width="14.28125" style="148" customWidth="1"/>
    <col min="6" max="6" width="15.28125" style="148" customWidth="1"/>
    <col min="7" max="7" width="9.421875" style="148" hidden="1" customWidth="1"/>
    <col min="8" max="8" width="8.57421875" style="148" customWidth="1"/>
    <col min="9" max="9" width="9.57421875" style="148" customWidth="1"/>
    <col min="10" max="10" width="18.421875" style="0" customWidth="1"/>
    <col min="11" max="11" width="14.00390625" style="452" customWidth="1"/>
    <col min="12" max="12" width="16.7109375" style="0" customWidth="1"/>
    <col min="13" max="13" width="14.8515625" style="0" customWidth="1"/>
    <col min="14" max="14" width="11.00390625" style="0" bestFit="1" customWidth="1"/>
  </cols>
  <sheetData>
    <row r="1" spans="1:9" ht="39.75" customHeight="1" thickBot="1">
      <c r="A1" s="554" t="s">
        <v>476</v>
      </c>
      <c r="B1" s="554"/>
      <c r="C1" s="554"/>
      <c r="D1" s="554"/>
      <c r="E1" s="554"/>
      <c r="F1" s="554"/>
      <c r="G1" s="554"/>
      <c r="H1" s="554"/>
      <c r="I1" s="554"/>
    </row>
    <row r="2" spans="1:9" ht="18.75" customHeight="1" thickTop="1">
      <c r="A2" s="567" t="s">
        <v>64</v>
      </c>
      <c r="B2" s="559" t="s">
        <v>307</v>
      </c>
      <c r="C2" s="559" t="s">
        <v>236</v>
      </c>
      <c r="D2" s="561" t="s">
        <v>526</v>
      </c>
      <c r="E2" s="561" t="s">
        <v>527</v>
      </c>
      <c r="F2" s="561" t="s">
        <v>529</v>
      </c>
      <c r="G2" s="561" t="s">
        <v>120</v>
      </c>
      <c r="H2" s="559" t="s">
        <v>120</v>
      </c>
      <c r="I2" s="565" t="s">
        <v>133</v>
      </c>
    </row>
    <row r="3" spans="1:9" ht="44.25" customHeight="1">
      <c r="A3" s="568"/>
      <c r="B3" s="560"/>
      <c r="C3" s="560"/>
      <c r="D3" s="562"/>
      <c r="E3" s="562"/>
      <c r="F3" s="562"/>
      <c r="G3" s="562"/>
      <c r="H3" s="560"/>
      <c r="I3" s="566"/>
    </row>
    <row r="4" spans="1:11" s="5" customFormat="1" ht="12.75" customHeight="1">
      <c r="A4" s="316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 t="s">
        <v>466</v>
      </c>
      <c r="H4" s="111" t="s">
        <v>503</v>
      </c>
      <c r="I4" s="112">
        <v>8</v>
      </c>
      <c r="K4" s="453"/>
    </row>
    <row r="5" spans="1:12" ht="19.5" customHeight="1">
      <c r="A5" s="317"/>
      <c r="B5" s="27"/>
      <c r="C5" s="164" t="s">
        <v>308</v>
      </c>
      <c r="D5" s="165">
        <f>D6+D21+D65+D73</f>
        <v>13556700</v>
      </c>
      <c r="E5" s="165">
        <f>E6+E21+E65+E73</f>
        <v>13744000</v>
      </c>
      <c r="F5" s="165">
        <f>F6+F21+F65+F73</f>
        <v>13552000</v>
      </c>
      <c r="G5" s="165">
        <f>F5/E5*100</f>
        <v>98.60302677532013</v>
      </c>
      <c r="H5" s="165">
        <f>IF(D5&gt;0,F5/D5*100,0)</f>
        <v>99.96533079584265</v>
      </c>
      <c r="I5" s="224">
        <f aca="true" t="shared" si="0" ref="I5:I36">F5/$F$90*100</f>
        <v>99.23116350589441</v>
      </c>
      <c r="J5" s="1"/>
      <c r="L5" s="1"/>
    </row>
    <row r="6" spans="1:10" ht="15" customHeight="1">
      <c r="A6" s="318">
        <v>710000</v>
      </c>
      <c r="B6" s="25"/>
      <c r="C6" s="56" t="s">
        <v>253</v>
      </c>
      <c r="D6" s="68">
        <f>D7+D9+D12+D14+D17+D19</f>
        <v>10100000</v>
      </c>
      <c r="E6" s="68">
        <f>E7+E9+E12+E14+E17+E19</f>
        <v>9934600</v>
      </c>
      <c r="F6" s="68">
        <f>F7+F9+F12+F14+F17+F19</f>
        <v>10030000</v>
      </c>
      <c r="G6" s="68">
        <f aca="true" t="shared" si="1" ref="G6:G72">F6/E6*100</f>
        <v>100.96028023272201</v>
      </c>
      <c r="H6" s="68">
        <f aca="true" t="shared" si="2" ref="H6:H69">IF(D6&gt;0,F6/D6*100,0)</f>
        <v>99.3069306930693</v>
      </c>
      <c r="I6" s="484">
        <f t="shared" si="0"/>
        <v>73.44219081789558</v>
      </c>
      <c r="J6" s="1"/>
    </row>
    <row r="7" spans="1:10" ht="14.25" customHeight="1">
      <c r="A7" s="319">
        <v>711100</v>
      </c>
      <c r="B7" s="33"/>
      <c r="C7" s="82" t="s">
        <v>214</v>
      </c>
      <c r="D7" s="89">
        <f>SUM(D8)</f>
        <v>4000</v>
      </c>
      <c r="E7" s="89">
        <f>SUM(E8)</f>
        <v>1600</v>
      </c>
      <c r="F7" s="89">
        <f>SUM(F8)</f>
        <v>3000</v>
      </c>
      <c r="G7" s="89">
        <f t="shared" si="1"/>
        <v>187.5</v>
      </c>
      <c r="H7" s="89">
        <f t="shared" si="2"/>
        <v>75</v>
      </c>
      <c r="I7" s="485">
        <f t="shared" si="0"/>
        <v>0.021966756974445337</v>
      </c>
      <c r="J7" s="1"/>
    </row>
    <row r="8" spans="1:10" ht="14.25" customHeight="1">
      <c r="A8" s="320">
        <v>711113</v>
      </c>
      <c r="B8" s="19"/>
      <c r="C8" s="94" t="s">
        <v>254</v>
      </c>
      <c r="D8" s="70">
        <v>4000</v>
      </c>
      <c r="E8" s="70">
        <v>1600</v>
      </c>
      <c r="F8" s="70">
        <v>3000</v>
      </c>
      <c r="G8" s="288">
        <f t="shared" si="1"/>
        <v>187.5</v>
      </c>
      <c r="H8" s="288">
        <f t="shared" si="2"/>
        <v>75</v>
      </c>
      <c r="I8" s="315">
        <f t="shared" si="0"/>
        <v>0.021966756974445337</v>
      </c>
      <c r="J8" s="1"/>
    </row>
    <row r="9" spans="1:12" ht="24.75" customHeight="1">
      <c r="A9" s="318">
        <v>713000</v>
      </c>
      <c r="B9" s="25"/>
      <c r="C9" s="28" t="s">
        <v>6</v>
      </c>
      <c r="D9" s="89">
        <f>SUM(D10:D11)</f>
        <v>1140000</v>
      </c>
      <c r="E9" s="89">
        <f>SUM(E10:E11)</f>
        <v>1155000</v>
      </c>
      <c r="F9" s="89">
        <f>SUM(F10:F11)</f>
        <v>1160000</v>
      </c>
      <c r="G9" s="89">
        <f t="shared" si="1"/>
        <v>100.43290043290042</v>
      </c>
      <c r="H9" s="89">
        <f t="shared" si="2"/>
        <v>101.75438596491229</v>
      </c>
      <c r="I9" s="485">
        <f t="shared" si="0"/>
        <v>8.49381269678553</v>
      </c>
      <c r="J9" s="1"/>
      <c r="L9" s="1"/>
    </row>
    <row r="10" spans="1:10" ht="14.25" customHeight="1">
      <c r="A10" s="320" t="s">
        <v>7</v>
      </c>
      <c r="B10" s="19"/>
      <c r="C10" s="29" t="s">
        <v>255</v>
      </c>
      <c r="D10" s="69">
        <v>145000</v>
      </c>
      <c r="E10" s="69">
        <v>160000</v>
      </c>
      <c r="F10" s="69">
        <v>165000</v>
      </c>
      <c r="G10" s="288">
        <f t="shared" si="1"/>
        <v>103.125</v>
      </c>
      <c r="H10" s="288">
        <f t="shared" si="2"/>
        <v>113.79310344827587</v>
      </c>
      <c r="I10" s="315">
        <f t="shared" si="0"/>
        <v>1.2081716335944936</v>
      </c>
      <c r="J10" s="1"/>
    </row>
    <row r="11" spans="1:10" ht="14.25" customHeight="1">
      <c r="A11" s="320" t="s">
        <v>8</v>
      </c>
      <c r="B11" s="19"/>
      <c r="C11" s="31" t="s">
        <v>9</v>
      </c>
      <c r="D11" s="69">
        <v>995000</v>
      </c>
      <c r="E11" s="69">
        <v>995000</v>
      </c>
      <c r="F11" s="69">
        <v>995000</v>
      </c>
      <c r="G11" s="288">
        <f t="shared" si="1"/>
        <v>100</v>
      </c>
      <c r="H11" s="288">
        <f t="shared" si="2"/>
        <v>100</v>
      </c>
      <c r="I11" s="315">
        <f t="shared" si="0"/>
        <v>7.285641063191038</v>
      </c>
      <c r="J11" s="1"/>
    </row>
    <row r="12" spans="1:10" ht="14.25" customHeight="1">
      <c r="A12" s="318">
        <v>714000</v>
      </c>
      <c r="B12" s="25"/>
      <c r="C12" s="28" t="s">
        <v>10</v>
      </c>
      <c r="D12" s="89">
        <f>SUM(D13:D13)</f>
        <v>390000</v>
      </c>
      <c r="E12" s="89">
        <f>SUM(E13:E13)</f>
        <v>290000</v>
      </c>
      <c r="F12" s="89">
        <f>SUM(F13:F13)</f>
        <v>350000</v>
      </c>
      <c r="G12" s="89">
        <f t="shared" si="1"/>
        <v>120.6896551724138</v>
      </c>
      <c r="H12" s="89">
        <f t="shared" si="2"/>
        <v>89.74358974358975</v>
      </c>
      <c r="I12" s="485">
        <f t="shared" si="0"/>
        <v>2.5627883136852896</v>
      </c>
      <c r="J12" s="1"/>
    </row>
    <row r="13" spans="1:10" ht="14.25" customHeight="1">
      <c r="A13" s="479" t="s">
        <v>525</v>
      </c>
      <c r="B13" s="25"/>
      <c r="C13" s="46" t="s">
        <v>453</v>
      </c>
      <c r="D13" s="70">
        <v>390000</v>
      </c>
      <c r="E13" s="70">
        <v>290000</v>
      </c>
      <c r="F13" s="70">
        <v>350000</v>
      </c>
      <c r="G13" s="288">
        <f t="shared" si="1"/>
        <v>120.6896551724138</v>
      </c>
      <c r="H13" s="288">
        <f t="shared" si="2"/>
        <v>89.74358974358975</v>
      </c>
      <c r="I13" s="315">
        <f t="shared" si="0"/>
        <v>2.5627883136852896</v>
      </c>
      <c r="J13" s="1"/>
    </row>
    <row r="14" spans="1:10" ht="14.25" customHeight="1">
      <c r="A14" s="318">
        <v>715000</v>
      </c>
      <c r="B14" s="25"/>
      <c r="C14" s="28" t="s">
        <v>177</v>
      </c>
      <c r="D14" s="89">
        <f>SUM(D15:D16)</f>
        <v>140000</v>
      </c>
      <c r="E14" s="89">
        <f>SUM(E15:E16)</f>
        <v>108000</v>
      </c>
      <c r="F14" s="89">
        <f>SUM(F15:F16)</f>
        <v>55000</v>
      </c>
      <c r="G14" s="89">
        <f t="shared" si="1"/>
        <v>50.92592592592593</v>
      </c>
      <c r="H14" s="89">
        <f t="shared" si="2"/>
        <v>39.285714285714285</v>
      </c>
      <c r="I14" s="485">
        <f t="shared" si="0"/>
        <v>0.4027238778648312</v>
      </c>
      <c r="J14" s="1"/>
    </row>
    <row r="15" spans="1:10" ht="14.25" customHeight="1">
      <c r="A15" s="321">
        <v>715110</v>
      </c>
      <c r="B15" s="39"/>
      <c r="C15" s="29" t="s">
        <v>11</v>
      </c>
      <c r="D15" s="69">
        <v>115000</v>
      </c>
      <c r="E15" s="69">
        <v>88000</v>
      </c>
      <c r="F15" s="69">
        <v>40000</v>
      </c>
      <c r="G15" s="288">
        <f t="shared" si="1"/>
        <v>45.45454545454545</v>
      </c>
      <c r="H15" s="288">
        <f t="shared" si="2"/>
        <v>34.78260869565217</v>
      </c>
      <c r="I15" s="315">
        <f t="shared" si="0"/>
        <v>0.29289009299260454</v>
      </c>
      <c r="J15" s="451"/>
    </row>
    <row r="16" spans="1:10" ht="14.25" customHeight="1">
      <c r="A16" s="320">
        <v>715210</v>
      </c>
      <c r="B16" s="19"/>
      <c r="C16" s="31" t="s">
        <v>12</v>
      </c>
      <c r="D16" s="69">
        <v>25000</v>
      </c>
      <c r="E16" s="69">
        <v>20000</v>
      </c>
      <c r="F16" s="69">
        <v>15000</v>
      </c>
      <c r="G16" s="288">
        <f t="shared" si="1"/>
        <v>75</v>
      </c>
      <c r="H16" s="288">
        <f t="shared" si="2"/>
        <v>60</v>
      </c>
      <c r="I16" s="315">
        <f t="shared" si="0"/>
        <v>0.1098337848722267</v>
      </c>
      <c r="J16" s="1"/>
    </row>
    <row r="17" spans="1:10" ht="14.25" customHeight="1">
      <c r="A17" s="322">
        <v>717000</v>
      </c>
      <c r="B17" s="78"/>
      <c r="C17" s="81" t="s">
        <v>413</v>
      </c>
      <c r="D17" s="89">
        <f>SUM(D18)</f>
        <v>8410000</v>
      </c>
      <c r="E17" s="89">
        <f>SUM(E18)</f>
        <v>8370000</v>
      </c>
      <c r="F17" s="89">
        <f>SUM(F18)</f>
        <v>8450000</v>
      </c>
      <c r="G17" s="89">
        <f t="shared" si="1"/>
        <v>100.9557945041816</v>
      </c>
      <c r="H17" s="89">
        <f t="shared" si="2"/>
        <v>100.4756242568371</v>
      </c>
      <c r="I17" s="485">
        <f t="shared" si="0"/>
        <v>61.8730321446877</v>
      </c>
      <c r="J17" s="1"/>
    </row>
    <row r="18" spans="1:10" ht="14.25" customHeight="1">
      <c r="A18" s="323">
        <v>717191</v>
      </c>
      <c r="B18" s="39"/>
      <c r="C18" s="31" t="s">
        <v>454</v>
      </c>
      <c r="D18" s="70">
        <v>8410000</v>
      </c>
      <c r="E18" s="70">
        <v>8370000</v>
      </c>
      <c r="F18" s="70">
        <v>8450000</v>
      </c>
      <c r="G18" s="288">
        <f t="shared" si="1"/>
        <v>100.9557945041816</v>
      </c>
      <c r="H18" s="288">
        <f t="shared" si="2"/>
        <v>100.4756242568371</v>
      </c>
      <c r="I18" s="315">
        <f t="shared" si="0"/>
        <v>61.8730321446877</v>
      </c>
      <c r="J18" s="1"/>
    </row>
    <row r="19" spans="1:10" ht="14.25" customHeight="1">
      <c r="A19" s="318">
        <v>719000</v>
      </c>
      <c r="B19" s="25"/>
      <c r="C19" s="28" t="s">
        <v>414</v>
      </c>
      <c r="D19" s="89">
        <f>SUM(D20)</f>
        <v>16000</v>
      </c>
      <c r="E19" s="89">
        <f>SUM(E20)</f>
        <v>10000</v>
      </c>
      <c r="F19" s="89">
        <f>SUM(F20)</f>
        <v>12000</v>
      </c>
      <c r="G19" s="89">
        <f t="shared" si="1"/>
        <v>120</v>
      </c>
      <c r="H19" s="89">
        <f t="shared" si="2"/>
        <v>75</v>
      </c>
      <c r="I19" s="485">
        <f t="shared" si="0"/>
        <v>0.08786702789778135</v>
      </c>
      <c r="J19" s="1"/>
    </row>
    <row r="20" spans="1:10" ht="14.25" customHeight="1">
      <c r="A20" s="320">
        <v>719113</v>
      </c>
      <c r="B20" s="19"/>
      <c r="C20" s="29" t="s">
        <v>13</v>
      </c>
      <c r="D20" s="69">
        <v>16000</v>
      </c>
      <c r="E20" s="69">
        <v>10000</v>
      </c>
      <c r="F20" s="69">
        <v>12000</v>
      </c>
      <c r="G20" s="288">
        <f t="shared" si="1"/>
        <v>120</v>
      </c>
      <c r="H20" s="288">
        <f t="shared" si="2"/>
        <v>75</v>
      </c>
      <c r="I20" s="315">
        <f t="shared" si="0"/>
        <v>0.08786702789778135</v>
      </c>
      <c r="J20" s="1"/>
    </row>
    <row r="21" spans="1:12" ht="15" customHeight="1">
      <c r="A21" s="318">
        <v>720000</v>
      </c>
      <c r="B21" s="25"/>
      <c r="C21" s="56" t="s">
        <v>256</v>
      </c>
      <c r="D21" s="68">
        <f>D22+D29+D61+D63</f>
        <v>2535800</v>
      </c>
      <c r="E21" s="68">
        <f>E22+E29+E61+E63</f>
        <v>2582300</v>
      </c>
      <c r="F21" s="68">
        <f>F22+F29+F61+F63</f>
        <v>2544500</v>
      </c>
      <c r="G21" s="68">
        <f t="shared" si="1"/>
        <v>98.53618866901598</v>
      </c>
      <c r="H21" s="68">
        <f t="shared" si="2"/>
        <v>100.34308699424246</v>
      </c>
      <c r="I21" s="484">
        <f t="shared" si="0"/>
        <v>18.631471040492055</v>
      </c>
      <c r="J21" s="1"/>
      <c r="L21" s="1"/>
    </row>
    <row r="22" spans="1:10" ht="14.25" customHeight="1">
      <c r="A22" s="318">
        <v>721000</v>
      </c>
      <c r="B22" s="25"/>
      <c r="C22" s="82" t="s">
        <v>178</v>
      </c>
      <c r="D22" s="89">
        <f>D23+D27</f>
        <v>260500</v>
      </c>
      <c r="E22" s="89">
        <f>E23+E27</f>
        <v>131500</v>
      </c>
      <c r="F22" s="89">
        <f>F23+F27</f>
        <v>202000</v>
      </c>
      <c r="G22" s="89">
        <f t="shared" si="1"/>
        <v>153.61216730038024</v>
      </c>
      <c r="H22" s="89">
        <f t="shared" si="2"/>
        <v>77.54318618042227</v>
      </c>
      <c r="I22" s="485">
        <f t="shared" si="0"/>
        <v>1.479094969612653</v>
      </c>
      <c r="J22" s="1"/>
    </row>
    <row r="23" spans="1:13" ht="14.25" customHeight="1">
      <c r="A23" s="319">
        <v>721200</v>
      </c>
      <c r="B23" s="33"/>
      <c r="C23" s="28" t="s">
        <v>179</v>
      </c>
      <c r="D23" s="71">
        <f>SUM(D24:D26)</f>
        <v>244500</v>
      </c>
      <c r="E23" s="71">
        <f>SUM(E24:E26)</f>
        <v>125000</v>
      </c>
      <c r="F23" s="71">
        <f>SUM(F24:F26)</f>
        <v>190000</v>
      </c>
      <c r="G23" s="313">
        <f t="shared" si="1"/>
        <v>152</v>
      </c>
      <c r="H23" s="313">
        <f t="shared" si="2"/>
        <v>77.70961145194273</v>
      </c>
      <c r="I23" s="314">
        <f t="shared" si="0"/>
        <v>1.3912279417148714</v>
      </c>
      <c r="J23" s="1"/>
      <c r="M23" s="1"/>
    </row>
    <row r="24" spans="1:13" ht="14.25" customHeight="1">
      <c r="A24" s="320">
        <v>721222</v>
      </c>
      <c r="B24" s="19"/>
      <c r="C24" s="29" t="s">
        <v>277</v>
      </c>
      <c r="D24" s="70">
        <v>20000</v>
      </c>
      <c r="E24" s="70">
        <v>15000</v>
      </c>
      <c r="F24" s="70">
        <v>15000</v>
      </c>
      <c r="G24" s="288">
        <f t="shared" si="1"/>
        <v>100</v>
      </c>
      <c r="H24" s="288">
        <f t="shared" si="2"/>
        <v>75</v>
      </c>
      <c r="I24" s="315">
        <f t="shared" si="0"/>
        <v>0.1098337848722267</v>
      </c>
      <c r="J24" s="1"/>
      <c r="M24" s="1"/>
    </row>
    <row r="25" spans="1:13" ht="14.25" customHeight="1">
      <c r="A25" s="320">
        <v>721223</v>
      </c>
      <c r="B25" s="19"/>
      <c r="C25" s="31" t="s">
        <v>14</v>
      </c>
      <c r="D25" s="70">
        <v>210000</v>
      </c>
      <c r="E25" s="70">
        <v>83000</v>
      </c>
      <c r="F25" s="70">
        <v>150000</v>
      </c>
      <c r="G25" s="288">
        <f t="shared" si="1"/>
        <v>180.72289156626508</v>
      </c>
      <c r="H25" s="288">
        <f t="shared" si="2"/>
        <v>71.42857142857143</v>
      </c>
      <c r="I25" s="315">
        <f t="shared" si="0"/>
        <v>1.098337848722267</v>
      </c>
      <c r="J25" s="451"/>
      <c r="M25" s="1"/>
    </row>
    <row r="26" spans="1:14" ht="14.25" customHeight="1">
      <c r="A26" s="320">
        <v>721224</v>
      </c>
      <c r="B26" s="19"/>
      <c r="C26" s="31" t="s">
        <v>257</v>
      </c>
      <c r="D26" s="70">
        <v>14500</v>
      </c>
      <c r="E26" s="70">
        <v>27000</v>
      </c>
      <c r="F26" s="70">
        <v>25000</v>
      </c>
      <c r="G26" s="288">
        <f t="shared" si="1"/>
        <v>92.5925925925926</v>
      </c>
      <c r="H26" s="288">
        <f t="shared" si="2"/>
        <v>172.41379310344826</v>
      </c>
      <c r="I26" s="315">
        <f t="shared" si="0"/>
        <v>0.18305630812037782</v>
      </c>
      <c r="J26" s="1"/>
      <c r="M26" s="1"/>
      <c r="N26" s="1"/>
    </row>
    <row r="27" spans="1:13" ht="14.25" customHeight="1">
      <c r="A27" s="324">
        <v>721300</v>
      </c>
      <c r="B27" s="480"/>
      <c r="C27" s="83" t="s">
        <v>180</v>
      </c>
      <c r="D27" s="71">
        <f>SUM(D28:D28)</f>
        <v>16000</v>
      </c>
      <c r="E27" s="71">
        <f>SUM(E28:E28)</f>
        <v>6500</v>
      </c>
      <c r="F27" s="71">
        <f>SUM(F28:F28)</f>
        <v>12000</v>
      </c>
      <c r="G27" s="313">
        <f t="shared" si="1"/>
        <v>184.6153846153846</v>
      </c>
      <c r="H27" s="313">
        <f t="shared" si="2"/>
        <v>75</v>
      </c>
      <c r="I27" s="314">
        <f t="shared" si="0"/>
        <v>0.08786702789778135</v>
      </c>
      <c r="J27" s="1"/>
      <c r="M27" s="1"/>
    </row>
    <row r="28" spans="1:13" ht="14.25" customHeight="1">
      <c r="A28" s="325">
        <v>721310</v>
      </c>
      <c r="B28" s="99"/>
      <c r="C28" s="84" t="s">
        <v>258</v>
      </c>
      <c r="D28" s="70">
        <v>16000</v>
      </c>
      <c r="E28" s="70">
        <v>6500</v>
      </c>
      <c r="F28" s="70">
        <v>12000</v>
      </c>
      <c r="G28" s="288">
        <f t="shared" si="1"/>
        <v>184.6153846153846</v>
      </c>
      <c r="H28" s="288">
        <f t="shared" si="2"/>
        <v>75</v>
      </c>
      <c r="I28" s="315">
        <f t="shared" si="0"/>
        <v>0.08786702789778135</v>
      </c>
      <c r="J28" s="1"/>
      <c r="M28" s="1"/>
    </row>
    <row r="29" spans="1:14" ht="14.25" customHeight="1">
      <c r="A29" s="318">
        <v>722000</v>
      </c>
      <c r="B29" s="25"/>
      <c r="C29" s="28" t="s">
        <v>181</v>
      </c>
      <c r="D29" s="89">
        <f>D30+D33+D42+D52</f>
        <v>2230500</v>
      </c>
      <c r="E29" s="89">
        <f>E30+E33+E42+E52</f>
        <v>2385800</v>
      </c>
      <c r="F29" s="89">
        <f>F30+F33+F42+F52</f>
        <v>2277500</v>
      </c>
      <c r="G29" s="89">
        <f t="shared" si="1"/>
        <v>95.46064213261799</v>
      </c>
      <c r="H29" s="89">
        <f t="shared" si="2"/>
        <v>102.10715086303519</v>
      </c>
      <c r="I29" s="485">
        <f t="shared" si="0"/>
        <v>16.67642966976642</v>
      </c>
      <c r="J29" s="1"/>
      <c r="M29" s="1"/>
      <c r="N29" s="1"/>
    </row>
    <row r="30" spans="1:13" ht="14.25" customHeight="1">
      <c r="A30" s="324">
        <v>722100</v>
      </c>
      <c r="B30" s="480"/>
      <c r="C30" s="28" t="s">
        <v>15</v>
      </c>
      <c r="D30" s="55">
        <f>SUM(D32:D32)</f>
        <v>190000</v>
      </c>
      <c r="E30" s="55">
        <f>SUM(E31:E32)</f>
        <v>259000</v>
      </c>
      <c r="F30" s="55">
        <f>SUM(F31:F32)</f>
        <v>230000</v>
      </c>
      <c r="G30" s="313">
        <f t="shared" si="1"/>
        <v>88.8030888030888</v>
      </c>
      <c r="H30" s="313">
        <f t="shared" si="2"/>
        <v>121.05263157894737</v>
      </c>
      <c r="I30" s="314">
        <f t="shared" si="0"/>
        <v>1.6841180347074758</v>
      </c>
      <c r="J30" s="1"/>
      <c r="M30" s="1"/>
    </row>
    <row r="31" spans="1:13" ht="14.25" customHeight="1">
      <c r="A31" s="320">
        <v>722118</v>
      </c>
      <c r="B31" s="480"/>
      <c r="C31" s="29" t="s">
        <v>467</v>
      </c>
      <c r="D31" s="69">
        <v>0</v>
      </c>
      <c r="E31" s="69">
        <v>9000</v>
      </c>
      <c r="F31" s="69">
        <v>0</v>
      </c>
      <c r="G31" s="288">
        <f t="shared" si="1"/>
        <v>0</v>
      </c>
      <c r="H31" s="288">
        <f t="shared" si="2"/>
        <v>0</v>
      </c>
      <c r="I31" s="315">
        <f t="shared" si="0"/>
        <v>0</v>
      </c>
      <c r="J31" s="1"/>
      <c r="M31" s="1"/>
    </row>
    <row r="32" spans="1:13" ht="14.25" customHeight="1">
      <c r="A32" s="320">
        <v>722121</v>
      </c>
      <c r="B32" s="19"/>
      <c r="C32" s="29" t="s">
        <v>16</v>
      </c>
      <c r="D32" s="69">
        <v>190000</v>
      </c>
      <c r="E32" s="69">
        <v>250000</v>
      </c>
      <c r="F32" s="69">
        <v>230000</v>
      </c>
      <c r="G32" s="288">
        <f t="shared" si="1"/>
        <v>92</v>
      </c>
      <c r="H32" s="288">
        <f t="shared" si="2"/>
        <v>121.05263157894737</v>
      </c>
      <c r="I32" s="315">
        <f t="shared" si="0"/>
        <v>1.6841180347074758</v>
      </c>
      <c r="J32" s="1"/>
      <c r="M32" s="1"/>
    </row>
    <row r="33" spans="1:14" ht="14.25" customHeight="1">
      <c r="A33" s="319">
        <v>722300</v>
      </c>
      <c r="B33" s="33"/>
      <c r="C33" s="28" t="s">
        <v>17</v>
      </c>
      <c r="D33" s="55">
        <f>SUM(D34:D41)</f>
        <v>614500</v>
      </c>
      <c r="E33" s="55">
        <f>SUM(E34:E41)</f>
        <v>601400</v>
      </c>
      <c r="F33" s="55">
        <f>SUM(F34:F41)</f>
        <v>615300</v>
      </c>
      <c r="G33" s="313">
        <f t="shared" si="1"/>
        <v>102.31127369471234</v>
      </c>
      <c r="H33" s="313">
        <f t="shared" si="2"/>
        <v>100.13018714401953</v>
      </c>
      <c r="I33" s="314">
        <f t="shared" si="0"/>
        <v>4.505381855458739</v>
      </c>
      <c r="J33" s="1"/>
      <c r="M33" s="1"/>
      <c r="N33" s="1"/>
    </row>
    <row r="34" spans="1:13" ht="14.25" customHeight="1">
      <c r="A34" s="320">
        <v>722312</v>
      </c>
      <c r="B34" s="19"/>
      <c r="C34" s="29" t="s">
        <v>359</v>
      </c>
      <c r="D34" s="69">
        <v>380000</v>
      </c>
      <c r="E34" s="69">
        <v>400000</v>
      </c>
      <c r="F34" s="69">
        <v>410000</v>
      </c>
      <c r="G34" s="288">
        <f t="shared" si="1"/>
        <v>102.49999999999999</v>
      </c>
      <c r="H34" s="288">
        <f t="shared" si="2"/>
        <v>107.89473684210526</v>
      </c>
      <c r="I34" s="315">
        <f t="shared" si="0"/>
        <v>3.0021234531741965</v>
      </c>
      <c r="J34" s="1"/>
      <c r="M34" s="1"/>
    </row>
    <row r="35" spans="1:13" ht="24" customHeight="1">
      <c r="A35" s="320">
        <v>722314</v>
      </c>
      <c r="B35" s="19"/>
      <c r="C35" s="29" t="s">
        <v>360</v>
      </c>
      <c r="D35" s="69">
        <v>14000</v>
      </c>
      <c r="E35" s="69">
        <v>22000</v>
      </c>
      <c r="F35" s="70">
        <v>15000</v>
      </c>
      <c r="G35" s="288">
        <f t="shared" si="1"/>
        <v>68.18181818181817</v>
      </c>
      <c r="H35" s="288">
        <f t="shared" si="2"/>
        <v>107.14285714285714</v>
      </c>
      <c r="I35" s="315">
        <f t="shared" si="0"/>
        <v>0.1098337848722267</v>
      </c>
      <c r="J35" s="1"/>
      <c r="M35" s="1"/>
    </row>
    <row r="36" spans="1:13" ht="23.25" customHeight="1">
      <c r="A36" s="320">
        <v>722316</v>
      </c>
      <c r="B36" s="19"/>
      <c r="C36" s="29" t="s">
        <v>18</v>
      </c>
      <c r="D36" s="69">
        <v>4000</v>
      </c>
      <c r="E36" s="69">
        <v>4000</v>
      </c>
      <c r="F36" s="69">
        <v>4000</v>
      </c>
      <c r="G36" s="288">
        <f t="shared" si="1"/>
        <v>100</v>
      </c>
      <c r="H36" s="288">
        <f t="shared" si="2"/>
        <v>100</v>
      </c>
      <c r="I36" s="315">
        <f t="shared" si="0"/>
        <v>0.02928900929926045</v>
      </c>
      <c r="J36" s="1"/>
      <c r="M36" s="1"/>
    </row>
    <row r="37" spans="1:13" ht="23.25" customHeight="1">
      <c r="A37" s="320">
        <v>722317</v>
      </c>
      <c r="B37" s="19"/>
      <c r="C37" s="29" t="s">
        <v>361</v>
      </c>
      <c r="D37" s="69">
        <v>1500</v>
      </c>
      <c r="E37" s="69">
        <v>400</v>
      </c>
      <c r="F37" s="69">
        <v>300</v>
      </c>
      <c r="G37" s="288">
        <f t="shared" si="1"/>
        <v>75</v>
      </c>
      <c r="H37" s="288">
        <f t="shared" si="2"/>
        <v>20</v>
      </c>
      <c r="I37" s="315">
        <f aca="true" t="shared" si="3" ref="I37:I72">F37/$F$90*100</f>
        <v>0.002196675697444534</v>
      </c>
      <c r="J37" s="1"/>
      <c r="M37" s="1"/>
    </row>
    <row r="38" spans="1:14" ht="14.25" customHeight="1">
      <c r="A38" s="320">
        <v>722318</v>
      </c>
      <c r="B38" s="19"/>
      <c r="C38" s="29" t="s">
        <v>19</v>
      </c>
      <c r="D38" s="69">
        <v>3000</v>
      </c>
      <c r="E38" s="69">
        <v>6500</v>
      </c>
      <c r="F38" s="69">
        <v>4000</v>
      </c>
      <c r="G38" s="288">
        <f t="shared" si="1"/>
        <v>61.53846153846154</v>
      </c>
      <c r="H38" s="288">
        <f t="shared" si="2"/>
        <v>133.33333333333331</v>
      </c>
      <c r="I38" s="315">
        <f t="shared" si="3"/>
        <v>0.02928900929926045</v>
      </c>
      <c r="J38" s="1"/>
      <c r="M38" s="1"/>
      <c r="N38" s="1"/>
    </row>
    <row r="39" spans="1:13" ht="47.25" customHeight="1">
      <c r="A39" s="320">
        <v>722319</v>
      </c>
      <c r="B39" s="19"/>
      <c r="C39" s="29" t="s">
        <v>268</v>
      </c>
      <c r="D39" s="69">
        <v>180000</v>
      </c>
      <c r="E39" s="69">
        <v>135000</v>
      </c>
      <c r="F39" s="69">
        <v>150000</v>
      </c>
      <c r="G39" s="288">
        <f t="shared" si="1"/>
        <v>111.11111111111111</v>
      </c>
      <c r="H39" s="288">
        <f t="shared" si="2"/>
        <v>83.33333333333334</v>
      </c>
      <c r="I39" s="315">
        <f t="shared" si="3"/>
        <v>1.098337848722267</v>
      </c>
      <c r="J39" s="1"/>
      <c r="M39" s="1"/>
    </row>
    <row r="40" spans="1:13" ht="24" customHeight="1">
      <c r="A40" s="320">
        <v>722391</v>
      </c>
      <c r="B40" s="19"/>
      <c r="C40" s="29" t="s">
        <v>20</v>
      </c>
      <c r="D40" s="69">
        <v>14000</v>
      </c>
      <c r="E40" s="69">
        <v>12500</v>
      </c>
      <c r="F40" s="69">
        <v>12000</v>
      </c>
      <c r="G40" s="288">
        <f t="shared" si="1"/>
        <v>96</v>
      </c>
      <c r="H40" s="288">
        <f t="shared" si="2"/>
        <v>85.71428571428571</v>
      </c>
      <c r="I40" s="315">
        <f t="shared" si="3"/>
        <v>0.08786702789778135</v>
      </c>
      <c r="J40" s="1"/>
      <c r="M40" s="1"/>
    </row>
    <row r="41" spans="1:14" ht="14.25" customHeight="1">
      <c r="A41" s="320">
        <v>722396</v>
      </c>
      <c r="B41" s="19"/>
      <c r="C41" s="29" t="s">
        <v>182</v>
      </c>
      <c r="D41" s="69">
        <v>18000</v>
      </c>
      <c r="E41" s="69">
        <v>21000</v>
      </c>
      <c r="F41" s="69">
        <v>20000</v>
      </c>
      <c r="G41" s="288">
        <f t="shared" si="1"/>
        <v>95.23809523809523</v>
      </c>
      <c r="H41" s="288">
        <f t="shared" si="2"/>
        <v>111.11111111111111</v>
      </c>
      <c r="I41" s="315">
        <f t="shared" si="3"/>
        <v>0.14644504649630227</v>
      </c>
      <c r="J41" s="1"/>
      <c r="M41" s="1"/>
      <c r="N41" s="1"/>
    </row>
    <row r="42" spans="1:13" ht="14.25" customHeight="1">
      <c r="A42" s="319">
        <v>722400</v>
      </c>
      <c r="B42" s="33"/>
      <c r="C42" s="38" t="s">
        <v>21</v>
      </c>
      <c r="D42" s="144">
        <f>SUM(D43:D51)</f>
        <v>1120000</v>
      </c>
      <c r="E42" s="144">
        <f>SUM(E43:E51)</f>
        <v>1242400</v>
      </c>
      <c r="F42" s="144">
        <f>SUM(F43:F51)</f>
        <v>1110000</v>
      </c>
      <c r="G42" s="313">
        <f t="shared" si="1"/>
        <v>89.34320669671604</v>
      </c>
      <c r="H42" s="313">
        <f t="shared" si="2"/>
        <v>99.10714285714286</v>
      </c>
      <c r="I42" s="314">
        <f t="shared" si="3"/>
        <v>8.127700080544775</v>
      </c>
      <c r="J42" s="1"/>
      <c r="M42" s="1"/>
    </row>
    <row r="43" spans="1:13" ht="14.25" customHeight="1">
      <c r="A43" s="320">
        <v>722411</v>
      </c>
      <c r="B43" s="19"/>
      <c r="C43" s="29" t="s">
        <v>357</v>
      </c>
      <c r="D43" s="70">
        <v>220000</v>
      </c>
      <c r="E43" s="70">
        <v>78000</v>
      </c>
      <c r="F43" s="70">
        <v>160000</v>
      </c>
      <c r="G43" s="288">
        <f t="shared" si="1"/>
        <v>205.1282051282051</v>
      </c>
      <c r="H43" s="288">
        <f t="shared" si="2"/>
        <v>72.72727272727273</v>
      </c>
      <c r="I43" s="315">
        <f t="shared" si="3"/>
        <v>1.1715603719704182</v>
      </c>
      <c r="J43" s="451"/>
      <c r="M43" s="1"/>
    </row>
    <row r="44" spans="1:13" ht="14.25" customHeight="1">
      <c r="A44" s="320">
        <v>722424</v>
      </c>
      <c r="B44" s="19"/>
      <c r="C44" s="29" t="s">
        <v>259</v>
      </c>
      <c r="D44" s="69">
        <v>180000</v>
      </c>
      <c r="E44" s="69">
        <v>90000</v>
      </c>
      <c r="F44" s="70">
        <v>100000</v>
      </c>
      <c r="G44" s="288">
        <f t="shared" si="1"/>
        <v>111.11111111111111</v>
      </c>
      <c r="H44" s="288">
        <f t="shared" si="2"/>
        <v>55.55555555555556</v>
      </c>
      <c r="I44" s="315">
        <f t="shared" si="3"/>
        <v>0.7322252324815113</v>
      </c>
      <c r="J44" s="1"/>
      <c r="M44" s="1"/>
    </row>
    <row r="45" spans="1:13" ht="14.25" customHeight="1">
      <c r="A45" s="320">
        <v>722425</v>
      </c>
      <c r="B45" s="19"/>
      <c r="C45" s="29" t="s">
        <v>260</v>
      </c>
      <c r="D45" s="70">
        <v>70000</v>
      </c>
      <c r="E45" s="70">
        <v>65000</v>
      </c>
      <c r="F45" s="70">
        <v>90000</v>
      </c>
      <c r="G45" s="288">
        <f t="shared" si="1"/>
        <v>138.46153846153845</v>
      </c>
      <c r="H45" s="288">
        <f t="shared" si="2"/>
        <v>128.57142857142858</v>
      </c>
      <c r="I45" s="315">
        <f t="shared" si="3"/>
        <v>0.6590027092333601</v>
      </c>
      <c r="J45" s="1"/>
      <c r="M45" s="1"/>
    </row>
    <row r="46" spans="1:13" ht="34.5" customHeight="1">
      <c r="A46" s="320">
        <v>722435</v>
      </c>
      <c r="B46" s="19"/>
      <c r="C46" s="29" t="s">
        <v>358</v>
      </c>
      <c r="D46" s="70">
        <v>180000</v>
      </c>
      <c r="E46" s="70">
        <v>438000</v>
      </c>
      <c r="F46" s="70">
        <v>220000</v>
      </c>
      <c r="G46" s="288">
        <f t="shared" si="1"/>
        <v>50.2283105022831</v>
      </c>
      <c r="H46" s="288">
        <f t="shared" si="2"/>
        <v>122.22222222222223</v>
      </c>
      <c r="I46" s="315">
        <f t="shared" si="3"/>
        <v>1.6108955114593249</v>
      </c>
      <c r="J46" s="1"/>
      <c r="M46" s="1"/>
    </row>
    <row r="47" spans="1:14" ht="24" customHeight="1">
      <c r="A47" s="320">
        <v>722437</v>
      </c>
      <c r="B47" s="19"/>
      <c r="C47" s="29" t="s">
        <v>281</v>
      </c>
      <c r="D47" s="70">
        <v>20000</v>
      </c>
      <c r="E47" s="70">
        <v>30000</v>
      </c>
      <c r="F47" s="70">
        <v>30000</v>
      </c>
      <c r="G47" s="288">
        <f t="shared" si="1"/>
        <v>100</v>
      </c>
      <c r="H47" s="288">
        <f t="shared" si="2"/>
        <v>150</v>
      </c>
      <c r="I47" s="315">
        <f t="shared" si="3"/>
        <v>0.2196675697444534</v>
      </c>
      <c r="J47" s="1"/>
      <c r="M47" s="1"/>
      <c r="N47" s="1"/>
    </row>
    <row r="48" spans="1:13" ht="24" customHeight="1">
      <c r="A48" s="321">
        <v>722440</v>
      </c>
      <c r="B48" s="39"/>
      <c r="C48" s="46" t="s">
        <v>283</v>
      </c>
      <c r="D48" s="70">
        <v>130000</v>
      </c>
      <c r="E48" s="70">
        <v>115000</v>
      </c>
      <c r="F48" s="70">
        <v>110000</v>
      </c>
      <c r="G48" s="288">
        <f t="shared" si="1"/>
        <v>95.65217391304348</v>
      </c>
      <c r="H48" s="288">
        <f t="shared" si="2"/>
        <v>84.61538461538461</v>
      </c>
      <c r="I48" s="315">
        <f t="shared" si="3"/>
        <v>0.8054477557296624</v>
      </c>
      <c r="J48" s="1"/>
      <c r="M48" s="1"/>
    </row>
    <row r="49" spans="1:13" ht="23.25" customHeight="1">
      <c r="A49" s="320">
        <v>722461</v>
      </c>
      <c r="B49" s="19"/>
      <c r="C49" s="29" t="s">
        <v>63</v>
      </c>
      <c r="D49" s="70">
        <v>170000</v>
      </c>
      <c r="E49" s="70">
        <v>255000</v>
      </c>
      <c r="F49" s="70">
        <v>230000</v>
      </c>
      <c r="G49" s="288">
        <f t="shared" si="1"/>
        <v>90.19607843137256</v>
      </c>
      <c r="H49" s="288">
        <f t="shared" si="2"/>
        <v>135.29411764705884</v>
      </c>
      <c r="I49" s="315">
        <f t="shared" si="3"/>
        <v>1.6841180347074758</v>
      </c>
      <c r="J49" s="1"/>
      <c r="M49" s="1"/>
    </row>
    <row r="50" spans="1:13" ht="13.5" customHeight="1">
      <c r="A50" s="320">
        <v>722467</v>
      </c>
      <c r="B50" s="19"/>
      <c r="C50" s="29" t="s">
        <v>22</v>
      </c>
      <c r="D50" s="69">
        <v>150000</v>
      </c>
      <c r="E50" s="69">
        <v>170000</v>
      </c>
      <c r="F50" s="69">
        <v>170000</v>
      </c>
      <c r="G50" s="288">
        <f t="shared" si="1"/>
        <v>100</v>
      </c>
      <c r="H50" s="288">
        <f t="shared" si="2"/>
        <v>113.33333333333333</v>
      </c>
      <c r="I50" s="315">
        <f t="shared" si="3"/>
        <v>1.2447828952185693</v>
      </c>
      <c r="J50" s="1"/>
      <c r="M50" s="1"/>
    </row>
    <row r="51" spans="1:13" ht="23.25" customHeight="1">
      <c r="A51" s="320">
        <v>722491</v>
      </c>
      <c r="B51" s="19"/>
      <c r="C51" s="29" t="s">
        <v>356</v>
      </c>
      <c r="D51" s="69">
        <v>0</v>
      </c>
      <c r="E51" s="69">
        <v>1400</v>
      </c>
      <c r="F51" s="69">
        <v>0</v>
      </c>
      <c r="G51" s="313">
        <f t="shared" si="1"/>
        <v>0</v>
      </c>
      <c r="H51" s="313">
        <f t="shared" si="2"/>
        <v>0</v>
      </c>
      <c r="I51" s="314">
        <f t="shared" si="3"/>
        <v>0</v>
      </c>
      <c r="J51" s="1"/>
      <c r="M51" s="1"/>
    </row>
    <row r="52" spans="1:13" ht="14.25" customHeight="1">
      <c r="A52" s="326">
        <v>722500</v>
      </c>
      <c r="B52" s="85"/>
      <c r="C52" s="28" t="s">
        <v>23</v>
      </c>
      <c r="D52" s="144">
        <f>SUM(D53:D60)</f>
        <v>306000</v>
      </c>
      <c r="E52" s="144">
        <f>SUM(E53:E60)</f>
        <v>283000</v>
      </c>
      <c r="F52" s="144">
        <f>SUM(F53:F60)</f>
        <v>322200</v>
      </c>
      <c r="G52" s="313">
        <f t="shared" si="1"/>
        <v>113.85159010600707</v>
      </c>
      <c r="H52" s="313">
        <f t="shared" si="2"/>
        <v>105.29411764705883</v>
      </c>
      <c r="I52" s="314">
        <f t="shared" si="3"/>
        <v>2.3592296990554296</v>
      </c>
      <c r="J52" s="1"/>
      <c r="M52" s="1"/>
    </row>
    <row r="53" spans="1:13" ht="14.25" customHeight="1">
      <c r="A53" s="320">
        <v>722521</v>
      </c>
      <c r="B53" s="19"/>
      <c r="C53" s="29" t="s">
        <v>534</v>
      </c>
      <c r="D53" s="69">
        <v>16000</v>
      </c>
      <c r="E53" s="69">
        <v>21000</v>
      </c>
      <c r="F53" s="69">
        <v>21000</v>
      </c>
      <c r="G53" s="288">
        <f t="shared" si="1"/>
        <v>100</v>
      </c>
      <c r="H53" s="288">
        <f t="shared" si="2"/>
        <v>131.25</v>
      </c>
      <c r="I53" s="315">
        <f t="shared" si="3"/>
        <v>0.1537672988211174</v>
      </c>
      <c r="J53" s="1"/>
      <c r="M53" s="1"/>
    </row>
    <row r="54" spans="1:13" ht="14.25" customHeight="1">
      <c r="A54" s="320">
        <v>722591</v>
      </c>
      <c r="B54" s="19"/>
      <c r="C54" s="31" t="s">
        <v>535</v>
      </c>
      <c r="D54" s="100">
        <v>25000</v>
      </c>
      <c r="E54" s="100">
        <v>20000</v>
      </c>
      <c r="F54" s="100">
        <v>17700</v>
      </c>
      <c r="G54" s="288">
        <f t="shared" si="1"/>
        <v>88.5</v>
      </c>
      <c r="H54" s="288">
        <f t="shared" si="2"/>
        <v>70.8</v>
      </c>
      <c r="I54" s="315">
        <f t="shared" si="3"/>
        <v>0.1296038661492275</v>
      </c>
      <c r="J54" s="1"/>
      <c r="M54" s="1"/>
    </row>
    <row r="55" spans="1:14" ht="14.25" customHeight="1">
      <c r="A55" s="320">
        <v>722591</v>
      </c>
      <c r="B55" s="19"/>
      <c r="C55" s="31" t="s">
        <v>295</v>
      </c>
      <c r="D55" s="100">
        <v>12500</v>
      </c>
      <c r="E55" s="100">
        <v>12500</v>
      </c>
      <c r="F55" s="100">
        <v>11000</v>
      </c>
      <c r="G55" s="288">
        <f t="shared" si="1"/>
        <v>88</v>
      </c>
      <c r="H55" s="288">
        <f t="shared" si="2"/>
        <v>88</v>
      </c>
      <c r="I55" s="315">
        <f t="shared" si="3"/>
        <v>0.08054477557296624</v>
      </c>
      <c r="J55" s="1"/>
      <c r="M55" s="1"/>
      <c r="N55" s="1"/>
    </row>
    <row r="56" spans="1:13" ht="14.25" customHeight="1">
      <c r="A56" s="320">
        <v>722591</v>
      </c>
      <c r="B56" s="19"/>
      <c r="C56" s="29" t="s">
        <v>287</v>
      </c>
      <c r="D56" s="100">
        <v>28800</v>
      </c>
      <c r="E56" s="100">
        <v>25000</v>
      </c>
      <c r="F56" s="100">
        <v>27000</v>
      </c>
      <c r="G56" s="288">
        <f t="shared" si="1"/>
        <v>108</v>
      </c>
      <c r="H56" s="288">
        <f t="shared" si="2"/>
        <v>93.75</v>
      </c>
      <c r="I56" s="315">
        <f t="shared" si="3"/>
        <v>0.19770081277000806</v>
      </c>
      <c r="J56" s="1"/>
      <c r="M56" s="1"/>
    </row>
    <row r="57" spans="1:13" ht="14.25" customHeight="1">
      <c r="A57" s="320">
        <v>722591</v>
      </c>
      <c r="B57" s="19"/>
      <c r="C57" s="29" t="s">
        <v>499</v>
      </c>
      <c r="D57" s="100">
        <v>0</v>
      </c>
      <c r="E57" s="100">
        <v>0</v>
      </c>
      <c r="F57" s="100">
        <v>1300</v>
      </c>
      <c r="G57" s="288" t="e">
        <f t="shared" si="1"/>
        <v>#DIV/0!</v>
      </c>
      <c r="H57" s="288">
        <f t="shared" si="2"/>
        <v>0</v>
      </c>
      <c r="I57" s="315">
        <f t="shared" si="3"/>
        <v>0.009518928022259647</v>
      </c>
      <c r="J57" s="1"/>
      <c r="M57" s="1"/>
    </row>
    <row r="58" spans="1:13" ht="14.25" customHeight="1">
      <c r="A58" s="320">
        <v>722591</v>
      </c>
      <c r="B58" s="19"/>
      <c r="C58" s="31" t="s">
        <v>536</v>
      </c>
      <c r="D58" s="100">
        <v>5000</v>
      </c>
      <c r="E58" s="100">
        <v>3500</v>
      </c>
      <c r="F58" s="100">
        <v>3000</v>
      </c>
      <c r="G58" s="288">
        <f t="shared" si="1"/>
        <v>85.71428571428571</v>
      </c>
      <c r="H58" s="288">
        <f t="shared" si="2"/>
        <v>60</v>
      </c>
      <c r="I58" s="315">
        <f t="shared" si="3"/>
        <v>0.021966756974445337</v>
      </c>
      <c r="J58" s="1"/>
      <c r="M58" s="1"/>
    </row>
    <row r="59" spans="1:13" ht="14.25" customHeight="1">
      <c r="A59" s="320">
        <v>722591</v>
      </c>
      <c r="B59" s="19"/>
      <c r="C59" s="31" t="s">
        <v>537</v>
      </c>
      <c r="D59" s="100">
        <v>218000</v>
      </c>
      <c r="E59" s="100">
        <v>200000</v>
      </c>
      <c r="F59" s="100">
        <v>240000</v>
      </c>
      <c r="G59" s="288">
        <f t="shared" si="1"/>
        <v>120</v>
      </c>
      <c r="H59" s="288">
        <f t="shared" si="2"/>
        <v>110.09174311926606</v>
      </c>
      <c r="I59" s="315">
        <f t="shared" si="3"/>
        <v>1.7573405579556272</v>
      </c>
      <c r="J59" s="1"/>
      <c r="M59" s="1"/>
    </row>
    <row r="60" spans="1:13" ht="14.25" customHeight="1">
      <c r="A60" s="320">
        <v>722591</v>
      </c>
      <c r="B60" s="19"/>
      <c r="C60" s="29" t="s">
        <v>538</v>
      </c>
      <c r="D60" s="100">
        <v>700</v>
      </c>
      <c r="E60" s="100">
        <v>1000</v>
      </c>
      <c r="F60" s="100">
        <v>1200</v>
      </c>
      <c r="G60" s="288">
        <f t="shared" si="1"/>
        <v>120</v>
      </c>
      <c r="H60" s="288">
        <f t="shared" si="2"/>
        <v>171.42857142857142</v>
      </c>
      <c r="I60" s="315">
        <f t="shared" si="3"/>
        <v>0.008786702789778136</v>
      </c>
      <c r="J60" s="1"/>
      <c r="M60" s="1"/>
    </row>
    <row r="61" spans="1:13" ht="14.25" customHeight="1">
      <c r="A61" s="318">
        <v>723000</v>
      </c>
      <c r="B61" s="25"/>
      <c r="C61" s="57" t="s">
        <v>24</v>
      </c>
      <c r="D61" s="145">
        <f>D62</f>
        <v>11000</v>
      </c>
      <c r="E61" s="145">
        <f>E62</f>
        <v>13000</v>
      </c>
      <c r="F61" s="145">
        <f>F62</f>
        <v>13000</v>
      </c>
      <c r="G61" s="89">
        <f t="shared" si="1"/>
        <v>100</v>
      </c>
      <c r="H61" s="89">
        <f t="shared" si="2"/>
        <v>118.18181818181819</v>
      </c>
      <c r="I61" s="485">
        <f t="shared" si="3"/>
        <v>0.09518928022259647</v>
      </c>
      <c r="J61" s="1"/>
      <c r="M61" s="1"/>
    </row>
    <row r="62" spans="1:13" ht="25.5" customHeight="1">
      <c r="A62" s="320">
        <v>723121</v>
      </c>
      <c r="B62" s="19"/>
      <c r="C62" s="29" t="s">
        <v>261</v>
      </c>
      <c r="D62" s="69">
        <v>11000</v>
      </c>
      <c r="E62" s="69">
        <v>13000</v>
      </c>
      <c r="F62" s="69">
        <v>13000</v>
      </c>
      <c r="G62" s="288">
        <f t="shared" si="1"/>
        <v>100</v>
      </c>
      <c r="H62" s="288">
        <f t="shared" si="2"/>
        <v>118.18181818181819</v>
      </c>
      <c r="I62" s="315">
        <f t="shared" si="3"/>
        <v>0.09518928022259647</v>
      </c>
      <c r="J62" s="1"/>
      <c r="M62" s="1"/>
    </row>
    <row r="63" spans="1:13" ht="12.75">
      <c r="A63" s="318">
        <v>729000</v>
      </c>
      <c r="B63" s="25"/>
      <c r="C63" s="28" t="s">
        <v>25</v>
      </c>
      <c r="D63" s="145">
        <f>SUM(D64:D64)</f>
        <v>33800</v>
      </c>
      <c r="E63" s="145">
        <f>SUM(E64:E64)</f>
        <v>52000</v>
      </c>
      <c r="F63" s="145">
        <f>SUM(F64:F64)</f>
        <v>52000</v>
      </c>
      <c r="G63" s="89">
        <f t="shared" si="1"/>
        <v>100</v>
      </c>
      <c r="H63" s="89">
        <f t="shared" si="2"/>
        <v>153.84615384615387</v>
      </c>
      <c r="I63" s="485">
        <f t="shared" si="3"/>
        <v>0.3807571208903859</v>
      </c>
      <c r="J63" s="1"/>
      <c r="M63" s="1"/>
    </row>
    <row r="64" spans="1:14" ht="17.25" customHeight="1">
      <c r="A64" s="320">
        <v>729124</v>
      </c>
      <c r="B64" s="19"/>
      <c r="C64" s="32" t="s">
        <v>533</v>
      </c>
      <c r="D64" s="70">
        <v>33800</v>
      </c>
      <c r="E64" s="70">
        <v>52000</v>
      </c>
      <c r="F64" s="70">
        <v>52000</v>
      </c>
      <c r="G64" s="288">
        <f t="shared" si="1"/>
        <v>100</v>
      </c>
      <c r="H64" s="288">
        <f t="shared" si="2"/>
        <v>153.84615384615387</v>
      </c>
      <c r="I64" s="315">
        <f t="shared" si="3"/>
        <v>0.3807571208903859</v>
      </c>
      <c r="J64" s="451"/>
      <c r="M64" s="1"/>
      <c r="N64" s="1"/>
    </row>
    <row r="65" spans="1:13" ht="15" customHeight="1">
      <c r="A65" s="327">
        <v>730000</v>
      </c>
      <c r="B65" s="481"/>
      <c r="C65" s="50" t="s">
        <v>262</v>
      </c>
      <c r="D65" s="68">
        <f aca="true" t="shared" si="4" ref="D65:F66">D66</f>
        <v>0</v>
      </c>
      <c r="E65" s="68">
        <f t="shared" si="4"/>
        <v>32832.5</v>
      </c>
      <c r="F65" s="68">
        <f t="shared" si="4"/>
        <v>0</v>
      </c>
      <c r="G65" s="68">
        <f t="shared" si="1"/>
        <v>0</v>
      </c>
      <c r="H65" s="68">
        <f t="shared" si="2"/>
        <v>0</v>
      </c>
      <c r="I65" s="484">
        <f t="shared" si="3"/>
        <v>0</v>
      </c>
      <c r="M65" s="1"/>
    </row>
    <row r="66" spans="1:13" ht="14.25" customHeight="1">
      <c r="A66" s="328">
        <v>731200</v>
      </c>
      <c r="B66" s="90"/>
      <c r="C66" s="91" t="s">
        <v>197</v>
      </c>
      <c r="D66" s="89">
        <f t="shared" si="4"/>
        <v>0</v>
      </c>
      <c r="E66" s="89">
        <f t="shared" si="4"/>
        <v>32832.5</v>
      </c>
      <c r="F66" s="89">
        <f t="shared" si="4"/>
        <v>0</v>
      </c>
      <c r="G66" s="89">
        <f t="shared" si="1"/>
        <v>0</v>
      </c>
      <c r="H66" s="89">
        <f t="shared" si="2"/>
        <v>0</v>
      </c>
      <c r="I66" s="485">
        <f t="shared" si="3"/>
        <v>0</v>
      </c>
      <c r="M66" s="1"/>
    </row>
    <row r="67" spans="1:13" ht="14.25" customHeight="1">
      <c r="A67" s="328">
        <v>731210</v>
      </c>
      <c r="B67" s="90"/>
      <c r="C67" s="91" t="s">
        <v>381</v>
      </c>
      <c r="D67" s="71">
        <f>SUM(D68)</f>
        <v>0</v>
      </c>
      <c r="E67" s="71">
        <f>SUM(E68:E72)</f>
        <v>32832.5</v>
      </c>
      <c r="F67" s="71">
        <f>SUM(F68:F72)</f>
        <v>0</v>
      </c>
      <c r="G67" s="313">
        <f t="shared" si="1"/>
        <v>0</v>
      </c>
      <c r="H67" s="313">
        <f t="shared" si="2"/>
        <v>0</v>
      </c>
      <c r="I67" s="314">
        <f t="shared" si="3"/>
        <v>0</v>
      </c>
      <c r="M67" s="1"/>
    </row>
    <row r="68" spans="1:13" ht="36.75" customHeight="1">
      <c r="A68" s="329">
        <v>731200</v>
      </c>
      <c r="B68" s="64"/>
      <c r="C68" s="88" t="s">
        <v>501</v>
      </c>
      <c r="D68" s="100">
        <v>0</v>
      </c>
      <c r="E68" s="100">
        <v>6000</v>
      </c>
      <c r="F68" s="100">
        <v>0</v>
      </c>
      <c r="G68" s="288">
        <f t="shared" si="1"/>
        <v>0</v>
      </c>
      <c r="H68" s="288">
        <f t="shared" si="2"/>
        <v>0</v>
      </c>
      <c r="I68" s="315">
        <f t="shared" si="3"/>
        <v>0</v>
      </c>
      <c r="M68" s="1"/>
    </row>
    <row r="69" spans="1:13" ht="22.5" customHeight="1">
      <c r="A69" s="329">
        <v>731200</v>
      </c>
      <c r="B69" s="64"/>
      <c r="C69" s="88" t="s">
        <v>500</v>
      </c>
      <c r="D69" s="100">
        <v>0</v>
      </c>
      <c r="E69" s="100">
        <v>1100</v>
      </c>
      <c r="F69" s="100">
        <v>0</v>
      </c>
      <c r="G69" s="288">
        <f t="shared" si="1"/>
        <v>0</v>
      </c>
      <c r="H69" s="288">
        <f t="shared" si="2"/>
        <v>0</v>
      </c>
      <c r="I69" s="315">
        <f t="shared" si="3"/>
        <v>0</v>
      </c>
      <c r="M69" s="1"/>
    </row>
    <row r="70" spans="1:13" ht="22.5" customHeight="1">
      <c r="A70" s="329">
        <v>731200</v>
      </c>
      <c r="B70" s="64"/>
      <c r="C70" s="88" t="s">
        <v>549</v>
      </c>
      <c r="D70" s="100">
        <v>0</v>
      </c>
      <c r="E70" s="100">
        <v>2232.5</v>
      </c>
      <c r="F70" s="100">
        <v>0</v>
      </c>
      <c r="G70" s="288"/>
      <c r="H70" s="288">
        <f>IF(D70&gt;0,F70/D70*100,0)</f>
        <v>0</v>
      </c>
      <c r="I70" s="315">
        <f>F70/$F$90*100</f>
        <v>0</v>
      </c>
      <c r="M70" s="1"/>
    </row>
    <row r="71" spans="1:13" ht="22.5" customHeight="1">
      <c r="A71" s="329">
        <v>731200</v>
      </c>
      <c r="B71" s="64"/>
      <c r="C71" s="88" t="s">
        <v>550</v>
      </c>
      <c r="D71" s="100">
        <v>0</v>
      </c>
      <c r="E71" s="100">
        <v>2500</v>
      </c>
      <c r="F71" s="100">
        <v>0</v>
      </c>
      <c r="G71" s="288"/>
      <c r="H71" s="288">
        <f>IF(D71&gt;0,F71/D71*100,0)</f>
        <v>0</v>
      </c>
      <c r="I71" s="315">
        <f>F71/$F$90*100</f>
        <v>0</v>
      </c>
      <c r="M71" s="1"/>
    </row>
    <row r="72" spans="1:13" ht="36">
      <c r="A72" s="329">
        <v>731200</v>
      </c>
      <c r="B72" s="64"/>
      <c r="C72" s="88" t="s">
        <v>539</v>
      </c>
      <c r="D72" s="100">
        <v>0</v>
      </c>
      <c r="E72" s="100">
        <v>21000</v>
      </c>
      <c r="F72" s="100">
        <v>0</v>
      </c>
      <c r="G72" s="288">
        <f t="shared" si="1"/>
        <v>0</v>
      </c>
      <c r="H72" s="288">
        <f aca="true" t="shared" si="5" ref="H72:H90">IF(D72&gt;0,F72/D72*100,0)</f>
        <v>0</v>
      </c>
      <c r="I72" s="315">
        <f t="shared" si="3"/>
        <v>0</v>
      </c>
      <c r="M72" s="1"/>
    </row>
    <row r="73" spans="1:11" s="2" customFormat="1" ht="15" customHeight="1">
      <c r="A73" s="327">
        <v>780000</v>
      </c>
      <c r="B73" s="481"/>
      <c r="C73" s="86" t="s">
        <v>415</v>
      </c>
      <c r="D73" s="68">
        <f>D74</f>
        <v>920900</v>
      </c>
      <c r="E73" s="68">
        <f>E74</f>
        <v>1194267.5</v>
      </c>
      <c r="F73" s="68">
        <f>F74</f>
        <v>977500</v>
      </c>
      <c r="G73" s="68">
        <f aca="true" t="shared" si="6" ref="G73:G90">F73/E73*100</f>
        <v>81.8493344246578</v>
      </c>
      <c r="H73" s="68">
        <f t="shared" si="5"/>
        <v>106.14616136388315</v>
      </c>
      <c r="I73" s="484">
        <f aca="true" t="shared" si="7" ref="I73:I90">F73/$F$90*100</f>
        <v>7.1575016475067725</v>
      </c>
      <c r="K73" s="454"/>
    </row>
    <row r="74" spans="1:11" s="2" customFormat="1" ht="24" customHeight="1">
      <c r="A74" s="322">
        <v>787000</v>
      </c>
      <c r="B74" s="78"/>
      <c r="C74" s="87" t="s">
        <v>430</v>
      </c>
      <c r="D74" s="89">
        <f>SUM(D75:D77)</f>
        <v>920900</v>
      </c>
      <c r="E74" s="89">
        <f>SUM(E75:E82)</f>
        <v>1194267.5</v>
      </c>
      <c r="F74" s="89">
        <f>SUM(F75:F82)</f>
        <v>977500</v>
      </c>
      <c r="G74" s="89">
        <f t="shared" si="6"/>
        <v>81.8493344246578</v>
      </c>
      <c r="H74" s="89">
        <f t="shared" si="5"/>
        <v>106.14616136388315</v>
      </c>
      <c r="I74" s="485">
        <f t="shared" si="7"/>
        <v>7.1575016475067725</v>
      </c>
      <c r="K74" s="454"/>
    </row>
    <row r="75" spans="1:11" s="2" customFormat="1" ht="25.5" customHeight="1">
      <c r="A75" s="325">
        <v>787200</v>
      </c>
      <c r="B75" s="99"/>
      <c r="C75" s="88" t="s">
        <v>263</v>
      </c>
      <c r="D75" s="288">
        <v>840000</v>
      </c>
      <c r="E75" s="288">
        <v>860000</v>
      </c>
      <c r="F75" s="288">
        <v>894000</v>
      </c>
      <c r="G75" s="288">
        <f t="shared" si="6"/>
        <v>103.95348837209302</v>
      </c>
      <c r="H75" s="288">
        <f t="shared" si="5"/>
        <v>106.42857142857143</v>
      </c>
      <c r="I75" s="315">
        <f t="shared" si="7"/>
        <v>6.546093578384711</v>
      </c>
      <c r="J75" s="387"/>
      <c r="K75" s="454"/>
    </row>
    <row r="76" spans="1:11" s="2" customFormat="1" ht="36" customHeight="1">
      <c r="A76" s="325">
        <v>787200</v>
      </c>
      <c r="B76" s="99"/>
      <c r="C76" s="88" t="s">
        <v>457</v>
      </c>
      <c r="D76" s="70">
        <v>76000</v>
      </c>
      <c r="E76" s="70">
        <v>76000</v>
      </c>
      <c r="F76" s="70">
        <v>76100</v>
      </c>
      <c r="G76" s="288">
        <f t="shared" si="6"/>
        <v>100.13157894736841</v>
      </c>
      <c r="H76" s="288">
        <f t="shared" si="5"/>
        <v>100.13157894736841</v>
      </c>
      <c r="I76" s="315">
        <f t="shared" si="7"/>
        <v>0.5572234019184301</v>
      </c>
      <c r="K76" s="454"/>
    </row>
    <row r="77" spans="1:11" s="2" customFormat="1" ht="24" customHeight="1">
      <c r="A77" s="325">
        <v>787200</v>
      </c>
      <c r="B77" s="99"/>
      <c r="C77" s="88" t="s">
        <v>458</v>
      </c>
      <c r="D77" s="100">
        <v>4900</v>
      </c>
      <c r="E77" s="100">
        <v>3837.17</v>
      </c>
      <c r="F77" s="100">
        <v>4900</v>
      </c>
      <c r="G77" s="288">
        <f t="shared" si="6"/>
        <v>127.6982776369043</v>
      </c>
      <c r="H77" s="288">
        <f t="shared" si="5"/>
        <v>100</v>
      </c>
      <c r="I77" s="315">
        <f t="shared" si="7"/>
        <v>0.03587903639159406</v>
      </c>
      <c r="K77" s="454"/>
    </row>
    <row r="78" spans="1:11" s="2" customFormat="1" ht="24" customHeight="1">
      <c r="A78" s="325">
        <v>787200</v>
      </c>
      <c r="B78" s="99"/>
      <c r="C78" s="88" t="s">
        <v>556</v>
      </c>
      <c r="D78" s="100">
        <v>0</v>
      </c>
      <c r="E78" s="100">
        <v>250000</v>
      </c>
      <c r="F78" s="100">
        <v>0</v>
      </c>
      <c r="G78" s="288"/>
      <c r="H78" s="288">
        <f>IF(D78&gt;0,F78/D78*100,0)</f>
        <v>0</v>
      </c>
      <c r="I78" s="315">
        <f t="shared" si="7"/>
        <v>0</v>
      </c>
      <c r="K78" s="454"/>
    </row>
    <row r="79" spans="1:11" s="2" customFormat="1" ht="24" customHeight="1">
      <c r="A79" s="325">
        <v>787200</v>
      </c>
      <c r="B79" s="99"/>
      <c r="C79" s="46" t="s">
        <v>511</v>
      </c>
      <c r="D79" s="100">
        <v>0</v>
      </c>
      <c r="E79" s="100">
        <v>2530.33</v>
      </c>
      <c r="F79" s="100">
        <v>500</v>
      </c>
      <c r="G79" s="288"/>
      <c r="H79" s="288">
        <f t="shared" si="5"/>
        <v>0</v>
      </c>
      <c r="I79" s="315">
        <f t="shared" si="7"/>
        <v>0.0036611261624075564</v>
      </c>
      <c r="K79" s="454"/>
    </row>
    <row r="80" spans="1:11" s="2" customFormat="1" ht="24" customHeight="1">
      <c r="A80" s="325">
        <v>787300</v>
      </c>
      <c r="B80" s="99"/>
      <c r="C80" s="46" t="s">
        <v>532</v>
      </c>
      <c r="D80" s="100">
        <v>0</v>
      </c>
      <c r="E80" s="100">
        <v>1000</v>
      </c>
      <c r="F80" s="100">
        <v>500</v>
      </c>
      <c r="G80" s="288">
        <f t="shared" si="6"/>
        <v>50</v>
      </c>
      <c r="H80" s="288">
        <f t="shared" si="5"/>
        <v>0</v>
      </c>
      <c r="I80" s="315">
        <f t="shared" si="7"/>
        <v>0.0036611261624075564</v>
      </c>
      <c r="K80" s="454"/>
    </row>
    <row r="81" spans="1:11" s="2" customFormat="1" ht="24" customHeight="1">
      <c r="A81" s="325">
        <v>787400</v>
      </c>
      <c r="B81" s="99"/>
      <c r="C81" s="46" t="s">
        <v>570</v>
      </c>
      <c r="D81" s="100">
        <v>0</v>
      </c>
      <c r="E81" s="100">
        <v>600</v>
      </c>
      <c r="F81" s="100">
        <v>1500</v>
      </c>
      <c r="G81" s="288">
        <f t="shared" si="6"/>
        <v>250</v>
      </c>
      <c r="H81" s="288">
        <f t="shared" si="5"/>
        <v>0</v>
      </c>
      <c r="I81" s="315">
        <f t="shared" si="7"/>
        <v>0.010983378487222669</v>
      </c>
      <c r="K81" s="454"/>
    </row>
    <row r="82" spans="1:11" s="2" customFormat="1" ht="17.25" customHeight="1">
      <c r="A82" s="325">
        <v>787900</v>
      </c>
      <c r="B82" s="99"/>
      <c r="C82" s="46" t="s">
        <v>551</v>
      </c>
      <c r="D82" s="100">
        <v>0</v>
      </c>
      <c r="E82" s="100">
        <v>300</v>
      </c>
      <c r="F82" s="100">
        <v>0</v>
      </c>
      <c r="G82" s="288"/>
      <c r="H82" s="288">
        <f t="shared" si="5"/>
        <v>0</v>
      </c>
      <c r="I82" s="315">
        <f t="shared" si="7"/>
        <v>0</v>
      </c>
      <c r="K82" s="454"/>
    </row>
    <row r="83" spans="1:9" ht="15" customHeight="1">
      <c r="A83" s="318">
        <v>810000</v>
      </c>
      <c r="B83" s="25"/>
      <c r="C83" s="168" t="s">
        <v>326</v>
      </c>
      <c r="D83" s="165">
        <f>D84+D86+D88</f>
        <v>46000</v>
      </c>
      <c r="E83" s="165">
        <f>E84+E86+E88</f>
        <v>20000</v>
      </c>
      <c r="F83" s="165">
        <f>F84+F86+F88</f>
        <v>105000</v>
      </c>
      <c r="G83" s="165">
        <f t="shared" si="6"/>
        <v>525</v>
      </c>
      <c r="H83" s="165">
        <f t="shared" si="5"/>
        <v>228.26086956521738</v>
      </c>
      <c r="I83" s="224">
        <f t="shared" si="7"/>
        <v>0.768836494105587</v>
      </c>
    </row>
    <row r="84" spans="1:9" ht="14.25" customHeight="1">
      <c r="A84" s="318">
        <v>811000</v>
      </c>
      <c r="B84" s="25"/>
      <c r="C84" s="57" t="s">
        <v>196</v>
      </c>
      <c r="D84" s="89">
        <f>SUM(D85:D85)</f>
        <v>0</v>
      </c>
      <c r="E84" s="89">
        <f>SUM(E85:E85)</f>
        <v>0</v>
      </c>
      <c r="F84" s="89">
        <f>SUM(F85:F85)</f>
        <v>0</v>
      </c>
      <c r="G84" s="89" t="e">
        <f t="shared" si="6"/>
        <v>#DIV/0!</v>
      </c>
      <c r="H84" s="89">
        <f t="shared" si="5"/>
        <v>0</v>
      </c>
      <c r="I84" s="485">
        <f t="shared" si="7"/>
        <v>0</v>
      </c>
    </row>
    <row r="85" spans="1:9" ht="14.25" customHeight="1">
      <c r="A85" s="329">
        <v>811120</v>
      </c>
      <c r="B85" s="482" t="s">
        <v>28</v>
      </c>
      <c r="C85" s="88" t="s">
        <v>217</v>
      </c>
      <c r="D85" s="70">
        <v>0</v>
      </c>
      <c r="E85" s="70">
        <v>0</v>
      </c>
      <c r="F85" s="70">
        <v>0</v>
      </c>
      <c r="G85" s="288" t="e">
        <f t="shared" si="6"/>
        <v>#DIV/0!</v>
      </c>
      <c r="H85" s="288">
        <f t="shared" si="5"/>
        <v>0</v>
      </c>
      <c r="I85" s="315">
        <f t="shared" si="7"/>
        <v>0</v>
      </c>
    </row>
    <row r="86" spans="1:9" ht="14.25" customHeight="1">
      <c r="A86" s="318">
        <v>813000</v>
      </c>
      <c r="B86" s="25"/>
      <c r="C86" s="57" t="s">
        <v>183</v>
      </c>
      <c r="D86" s="89">
        <f>SUM(D87:D87)</f>
        <v>42000</v>
      </c>
      <c r="E86" s="89">
        <f>SUM(E87:E87)</f>
        <v>15000</v>
      </c>
      <c r="F86" s="89">
        <f>SUM(F87:F87)</f>
        <v>100000</v>
      </c>
      <c r="G86" s="89">
        <f t="shared" si="6"/>
        <v>666.6666666666667</v>
      </c>
      <c r="H86" s="89">
        <f t="shared" si="5"/>
        <v>238.0952380952381</v>
      </c>
      <c r="I86" s="485">
        <f t="shared" si="7"/>
        <v>0.7322252324815113</v>
      </c>
    </row>
    <row r="87" spans="1:9" ht="14.25" customHeight="1">
      <c r="A87" s="329">
        <v>813110</v>
      </c>
      <c r="B87" s="482" t="s">
        <v>28</v>
      </c>
      <c r="C87" s="88" t="s">
        <v>184</v>
      </c>
      <c r="D87" s="70">
        <v>42000</v>
      </c>
      <c r="E87" s="70">
        <v>15000</v>
      </c>
      <c r="F87" s="70">
        <v>100000</v>
      </c>
      <c r="G87" s="288">
        <f t="shared" si="6"/>
        <v>666.6666666666667</v>
      </c>
      <c r="H87" s="288">
        <f t="shared" si="5"/>
        <v>238.0952380952381</v>
      </c>
      <c r="I87" s="315">
        <f t="shared" si="7"/>
        <v>0.7322252324815113</v>
      </c>
    </row>
    <row r="88" spans="1:9" ht="24" customHeight="1">
      <c r="A88" s="318">
        <v>816000</v>
      </c>
      <c r="B88" s="25"/>
      <c r="C88" s="57" t="s">
        <v>312</v>
      </c>
      <c r="D88" s="89">
        <f>SUM(D89)</f>
        <v>4000</v>
      </c>
      <c r="E88" s="89">
        <f>SUM(E89)</f>
        <v>5000</v>
      </c>
      <c r="F88" s="89">
        <f>SUM(F89)</f>
        <v>5000</v>
      </c>
      <c r="G88" s="89">
        <f t="shared" si="6"/>
        <v>100</v>
      </c>
      <c r="H88" s="89">
        <f t="shared" si="5"/>
        <v>125</v>
      </c>
      <c r="I88" s="485">
        <f t="shared" si="7"/>
        <v>0.03661126162407557</v>
      </c>
    </row>
    <row r="89" spans="1:9" ht="15" customHeight="1">
      <c r="A89" s="325">
        <v>816150</v>
      </c>
      <c r="B89" s="482" t="s">
        <v>37</v>
      </c>
      <c r="C89" s="88" t="s">
        <v>189</v>
      </c>
      <c r="D89" s="70">
        <v>4000</v>
      </c>
      <c r="E89" s="70">
        <v>5000</v>
      </c>
      <c r="F89" s="70">
        <v>5000</v>
      </c>
      <c r="G89" s="288">
        <f t="shared" si="6"/>
        <v>100</v>
      </c>
      <c r="H89" s="288">
        <f t="shared" si="5"/>
        <v>125</v>
      </c>
      <c r="I89" s="315">
        <f t="shared" si="7"/>
        <v>0.03661126162407557</v>
      </c>
    </row>
    <row r="90" spans="1:11" ht="29.25" customHeight="1" thickBot="1">
      <c r="A90" s="187"/>
      <c r="B90" s="483"/>
      <c r="C90" s="188" t="s">
        <v>327</v>
      </c>
      <c r="D90" s="221">
        <f>D5+D83</f>
        <v>13602700</v>
      </c>
      <c r="E90" s="221">
        <f>E5+E83</f>
        <v>13764000</v>
      </c>
      <c r="F90" s="221">
        <f>F5+F83</f>
        <v>13657000</v>
      </c>
      <c r="G90" s="330">
        <f t="shared" si="6"/>
        <v>99.22260970648067</v>
      </c>
      <c r="H90" s="527">
        <f t="shared" si="5"/>
        <v>100.39918545582861</v>
      </c>
      <c r="I90" s="528">
        <f t="shared" si="7"/>
        <v>100</v>
      </c>
      <c r="K90" s="455"/>
    </row>
    <row r="91" spans="1:9" ht="16.5" customHeight="1" thickTop="1">
      <c r="A91" s="150"/>
      <c r="B91" s="150"/>
      <c r="C91" s="260"/>
      <c r="D91" s="259"/>
      <c r="E91" s="259"/>
      <c r="F91" s="259"/>
      <c r="G91" s="259"/>
      <c r="I91"/>
    </row>
    <row r="92" spans="1:9" ht="12.75">
      <c r="A92" s="150"/>
      <c r="B92" s="150"/>
      <c r="C92" s="258"/>
      <c r="D92" s="259"/>
      <c r="E92" s="259"/>
      <c r="F92" s="259"/>
      <c r="G92" s="259"/>
      <c r="H92" s="216"/>
      <c r="I92" s="217"/>
    </row>
    <row r="93" spans="1:9" ht="15.75">
      <c r="A93" s="150"/>
      <c r="B93" s="150"/>
      <c r="C93" s="260"/>
      <c r="D93" s="259"/>
      <c r="E93" s="259"/>
      <c r="F93" s="259"/>
      <c r="G93" s="259"/>
      <c r="H93" s="216"/>
      <c r="I93" s="217"/>
    </row>
    <row r="94" spans="1:9" ht="12.75">
      <c r="A94" s="150"/>
      <c r="B94" s="150"/>
      <c r="C94" s="258"/>
      <c r="D94" s="259"/>
      <c r="E94" s="259"/>
      <c r="F94" s="259"/>
      <c r="G94" s="271"/>
      <c r="I94"/>
    </row>
    <row r="95" spans="1:10" ht="13.5" customHeight="1">
      <c r="A95" s="150"/>
      <c r="B95" s="150"/>
      <c r="C95" s="258"/>
      <c r="D95" s="259"/>
      <c r="E95" s="259"/>
      <c r="F95" s="259"/>
      <c r="G95" s="257"/>
      <c r="I95" s="1"/>
      <c r="J95" s="1"/>
    </row>
    <row r="96" spans="1:9" ht="12.75">
      <c r="A96" s="150"/>
      <c r="B96" s="150"/>
      <c r="C96" s="258"/>
      <c r="D96" s="259"/>
      <c r="E96" s="259"/>
      <c r="F96" s="259"/>
      <c r="I96"/>
    </row>
    <row r="97" spans="1:9" ht="15.75" customHeight="1">
      <c r="A97" s="150"/>
      <c r="B97" s="150"/>
      <c r="C97" s="301"/>
      <c r="D97" s="257"/>
      <c r="E97" s="257"/>
      <c r="F97" s="257"/>
      <c r="G97" s="271"/>
      <c r="I97" s="1"/>
    </row>
    <row r="98" spans="1:9" ht="12.75">
      <c r="A98" s="150"/>
      <c r="B98" s="150"/>
      <c r="C98" s="150"/>
      <c r="D98" s="150"/>
      <c r="E98" s="150"/>
      <c r="F98" s="150"/>
      <c r="G98" s="150"/>
      <c r="I98"/>
    </row>
    <row r="99" spans="1:9" ht="12.75">
      <c r="A99" s="150"/>
      <c r="B99" s="150"/>
      <c r="C99" s="150"/>
      <c r="D99" s="290"/>
      <c r="E99" s="290"/>
      <c r="F99" s="290"/>
      <c r="G99" s="290"/>
      <c r="I99"/>
    </row>
    <row r="100" spans="1:9" ht="12.75">
      <c r="A100" s="150"/>
      <c r="B100" s="150"/>
      <c r="C100" s="150"/>
      <c r="I100"/>
    </row>
    <row r="101" spans="1:9" ht="12.75">
      <c r="A101" s="150"/>
      <c r="B101" s="150"/>
      <c r="C101" s="150"/>
      <c r="I101"/>
    </row>
    <row r="102" spans="1:9" ht="15.75" customHeight="1">
      <c r="A102" s="150"/>
      <c r="B102" s="150"/>
      <c r="C102" s="150"/>
      <c r="I102"/>
    </row>
    <row r="103" spans="1:11" ht="12.75">
      <c r="A103" s="150"/>
      <c r="B103" s="150"/>
      <c r="C103" s="150"/>
      <c r="I103"/>
      <c r="J103" s="2"/>
      <c r="K103" s="454"/>
    </row>
    <row r="104" spans="1:9" ht="12.75">
      <c r="A104" s="150"/>
      <c r="B104" s="150"/>
      <c r="C104" s="150"/>
      <c r="I104"/>
    </row>
    <row r="105" spans="1:9" ht="12.75">
      <c r="A105" s="150"/>
      <c r="B105" s="150"/>
      <c r="C105" s="150"/>
      <c r="I105"/>
    </row>
    <row r="106" spans="1:9" ht="12.75" customHeight="1">
      <c r="A106" s="150"/>
      <c r="B106" s="150"/>
      <c r="C106" s="150"/>
      <c r="I106"/>
    </row>
    <row r="107" spans="1:9" ht="12.75">
      <c r="A107" s="150"/>
      <c r="B107" s="150"/>
      <c r="C107" s="150"/>
      <c r="I107"/>
    </row>
    <row r="108" spans="1:9" ht="12.75">
      <c r="A108" s="150"/>
      <c r="B108" s="150"/>
      <c r="C108" s="150"/>
      <c r="I108"/>
    </row>
    <row r="109" spans="1:9" ht="12.75">
      <c r="A109" s="150"/>
      <c r="B109" s="150"/>
      <c r="C109" s="150"/>
      <c r="I109"/>
    </row>
    <row r="110" spans="1:9" ht="12.75">
      <c r="A110" s="150"/>
      <c r="B110" s="150"/>
      <c r="C110" s="150"/>
      <c r="I110"/>
    </row>
    <row r="111" spans="1:9" ht="12.75">
      <c r="A111" s="150"/>
      <c r="B111" s="150"/>
      <c r="C111" s="150"/>
      <c r="I111"/>
    </row>
    <row r="112" spans="1:9" ht="12.75">
      <c r="A112" s="150"/>
      <c r="B112" s="150"/>
      <c r="C112" s="150"/>
      <c r="I112"/>
    </row>
    <row r="113" spans="1:9" ht="12.75">
      <c r="A113" s="150"/>
      <c r="B113" s="150"/>
      <c r="C113" s="150"/>
      <c r="I113"/>
    </row>
    <row r="114" spans="1:9" ht="12.75">
      <c r="A114" s="150"/>
      <c r="B114" s="150"/>
      <c r="C114" s="150"/>
      <c r="I114"/>
    </row>
    <row r="115" spans="1:9" ht="12.75">
      <c r="A115" s="150"/>
      <c r="B115" s="150"/>
      <c r="C115" s="150"/>
      <c r="I115"/>
    </row>
    <row r="116" spans="1:9" ht="12.75">
      <c r="A116" s="150"/>
      <c r="B116" s="150"/>
      <c r="C116" s="150"/>
      <c r="I116"/>
    </row>
    <row r="117" spans="1:9" ht="12.75">
      <c r="A117" s="150"/>
      <c r="B117" s="150"/>
      <c r="C117" s="150"/>
      <c r="I117"/>
    </row>
    <row r="118" spans="1:9" ht="12.75">
      <c r="A118" s="150"/>
      <c r="B118" s="150"/>
      <c r="C118" s="150"/>
      <c r="I118"/>
    </row>
    <row r="119" spans="1:9" ht="12.75">
      <c r="A119" s="150"/>
      <c r="B119" s="150"/>
      <c r="C119" s="150"/>
      <c r="I119"/>
    </row>
    <row r="120" spans="1:9" ht="12.75">
      <c r="A120" s="150"/>
      <c r="B120" s="150"/>
      <c r="C120" s="150"/>
      <c r="I120"/>
    </row>
    <row r="121" spans="1:9" ht="12.75">
      <c r="A121" s="150"/>
      <c r="B121" s="150"/>
      <c r="C121" s="150"/>
      <c r="I121"/>
    </row>
    <row r="122" spans="1:9" ht="12.75">
      <c r="A122" s="150"/>
      <c r="B122" s="150"/>
      <c r="C122" s="150"/>
      <c r="I122"/>
    </row>
    <row r="123" spans="1:9" ht="12.75">
      <c r="A123" s="150"/>
      <c r="B123" s="150"/>
      <c r="C123" s="150"/>
      <c r="I123"/>
    </row>
    <row r="124" spans="1:9" ht="12.75">
      <c r="A124" s="150"/>
      <c r="B124" s="150"/>
      <c r="C124" s="150"/>
      <c r="I124"/>
    </row>
    <row r="125" spans="1:9" ht="12.75">
      <c r="A125" s="150"/>
      <c r="B125" s="150"/>
      <c r="C125" s="150"/>
      <c r="I125"/>
    </row>
    <row r="126" spans="1:9" ht="12.75">
      <c r="A126" s="150"/>
      <c r="B126" s="150"/>
      <c r="C126" s="150"/>
      <c r="I126"/>
    </row>
    <row r="127" spans="1:9" ht="12.75">
      <c r="A127" s="150"/>
      <c r="B127" s="150"/>
      <c r="C127" s="150"/>
      <c r="I127"/>
    </row>
    <row r="128" spans="1:9" ht="12.75">
      <c r="A128" s="150"/>
      <c r="B128" s="150"/>
      <c r="C128" s="150"/>
      <c r="I128"/>
    </row>
    <row r="129" spans="1:9" ht="12.75">
      <c r="A129" s="150"/>
      <c r="B129" s="150"/>
      <c r="C129" s="150"/>
      <c r="I129"/>
    </row>
    <row r="130" spans="1:9" ht="12.75">
      <c r="A130" s="150"/>
      <c r="B130" s="150"/>
      <c r="C130" s="150"/>
      <c r="I130"/>
    </row>
    <row r="131" spans="1:9" ht="12.75">
      <c r="A131" s="150"/>
      <c r="B131" s="150"/>
      <c r="C131" s="150"/>
      <c r="I131"/>
    </row>
    <row r="132" spans="1:9" ht="12.75">
      <c r="A132" s="150"/>
      <c r="B132" s="150"/>
      <c r="C132" s="150"/>
      <c r="I132"/>
    </row>
    <row r="133" spans="1:9" ht="12.75">
      <c r="A133" s="150"/>
      <c r="B133" s="150"/>
      <c r="C133" s="150"/>
      <c r="I133"/>
    </row>
    <row r="134" spans="1:9" ht="12.75">
      <c r="A134" s="150"/>
      <c r="B134" s="150"/>
      <c r="C134" s="150"/>
      <c r="I134"/>
    </row>
    <row r="135" spans="1:9" ht="12.75">
      <c r="A135" s="150"/>
      <c r="B135" s="150"/>
      <c r="C135" s="150"/>
      <c r="I135"/>
    </row>
    <row r="136" spans="1:9" ht="12.75">
      <c r="A136" s="150"/>
      <c r="B136" s="150"/>
      <c r="C136" s="150"/>
      <c r="I136"/>
    </row>
    <row r="137" spans="1:9" ht="12.75">
      <c r="A137" s="150"/>
      <c r="B137" s="150"/>
      <c r="C137" s="150"/>
      <c r="I137"/>
    </row>
    <row r="138" spans="1:9" ht="12.75">
      <c r="A138" s="150"/>
      <c r="B138" s="150"/>
      <c r="C138" s="150"/>
      <c r="I138"/>
    </row>
    <row r="139" spans="1:9" ht="12.75">
      <c r="A139" s="150"/>
      <c r="B139" s="150"/>
      <c r="C139" s="150"/>
      <c r="I139"/>
    </row>
    <row r="140" spans="1:9" ht="12.75">
      <c r="A140" s="150"/>
      <c r="B140" s="150"/>
      <c r="C140" s="150"/>
      <c r="I140"/>
    </row>
    <row r="141" spans="1:9" ht="12.75">
      <c r="A141" s="150"/>
      <c r="B141" s="150"/>
      <c r="C141" s="150"/>
      <c r="I141"/>
    </row>
    <row r="142" spans="1:9" ht="12.75">
      <c r="A142" s="150"/>
      <c r="B142" s="150"/>
      <c r="C142" s="150"/>
      <c r="I142"/>
    </row>
    <row r="143" spans="1:9" ht="12.75">
      <c r="A143" s="150"/>
      <c r="B143" s="150"/>
      <c r="C143" s="150"/>
      <c r="I143"/>
    </row>
    <row r="144" spans="1:9" ht="12.75">
      <c r="A144" s="150"/>
      <c r="B144" s="150"/>
      <c r="C144" s="150"/>
      <c r="I144"/>
    </row>
    <row r="145" spans="1:9" ht="12.75">
      <c r="A145" s="150"/>
      <c r="B145" s="150"/>
      <c r="C145" s="150"/>
      <c r="I145"/>
    </row>
    <row r="146" spans="1:9" ht="12.75">
      <c r="A146" s="150"/>
      <c r="B146" s="150"/>
      <c r="C146" s="150"/>
      <c r="I146"/>
    </row>
    <row r="147" spans="1:9" ht="12.75">
      <c r="A147" s="150"/>
      <c r="B147" s="150"/>
      <c r="C147" s="150"/>
      <c r="I147"/>
    </row>
    <row r="148" spans="1:9" ht="12.75">
      <c r="A148" s="150"/>
      <c r="B148" s="150"/>
      <c r="C148" s="150"/>
      <c r="I148"/>
    </row>
    <row r="149" spans="1:9" ht="12.75">
      <c r="A149" s="150"/>
      <c r="B149" s="150"/>
      <c r="C149" s="150"/>
      <c r="I149"/>
    </row>
    <row r="150" spans="1:9" ht="12.75">
      <c r="A150" s="150"/>
      <c r="B150" s="150"/>
      <c r="C150" s="150"/>
      <c r="I150"/>
    </row>
    <row r="151" spans="1:8" ht="12.75">
      <c r="A151" s="150"/>
      <c r="B151" s="150"/>
      <c r="C151" s="3"/>
      <c r="D151" s="150"/>
      <c r="E151" s="150"/>
      <c r="F151" s="150"/>
      <c r="G151" s="150"/>
      <c r="H151" s="150"/>
    </row>
    <row r="152" spans="1:8" ht="12.75">
      <c r="A152" s="4"/>
      <c r="B152" s="4"/>
      <c r="C152" s="3"/>
      <c r="D152" s="150"/>
      <c r="E152" s="150"/>
      <c r="F152" s="150"/>
      <c r="G152" s="150"/>
      <c r="H152" s="150"/>
    </row>
    <row r="153" spans="1:8" ht="12.75">
      <c r="A153" s="4"/>
      <c r="B153" s="4"/>
      <c r="C153" s="3"/>
      <c r="D153" s="150"/>
      <c r="E153" s="150"/>
      <c r="F153" s="150"/>
      <c r="G153" s="150"/>
      <c r="H153" s="150"/>
    </row>
    <row r="154" spans="1:8" ht="12.75">
      <c r="A154" s="4"/>
      <c r="B154" s="4"/>
      <c r="C154" s="3"/>
      <c r="D154" s="150"/>
      <c r="E154" s="150"/>
      <c r="F154" s="150"/>
      <c r="G154" s="150"/>
      <c r="H154" s="150"/>
    </row>
    <row r="155" spans="1:8" ht="12.75">
      <c r="A155" s="4"/>
      <c r="B155" s="4"/>
      <c r="C155" s="3"/>
      <c r="D155" s="150"/>
      <c r="E155" s="150"/>
      <c r="F155" s="150"/>
      <c r="G155" s="150"/>
      <c r="H155" s="150"/>
    </row>
    <row r="156" spans="1:8" ht="12.75">
      <c r="A156" s="4"/>
      <c r="B156" s="4"/>
      <c r="C156" s="3"/>
      <c r="D156" s="150"/>
      <c r="E156" s="150"/>
      <c r="F156" s="150"/>
      <c r="G156" s="150"/>
      <c r="H156" s="150"/>
    </row>
    <row r="157" spans="1:8" ht="12.75">
      <c r="A157" s="4"/>
      <c r="B157" s="4"/>
      <c r="C157" s="3"/>
      <c r="D157" s="150"/>
      <c r="E157" s="150"/>
      <c r="F157" s="150"/>
      <c r="G157" s="150"/>
      <c r="H157" s="150"/>
    </row>
    <row r="158" spans="1:8" ht="12.75">
      <c r="A158" s="4"/>
      <c r="B158" s="4"/>
      <c r="C158" s="3"/>
      <c r="D158" s="150"/>
      <c r="E158" s="150"/>
      <c r="F158" s="150"/>
      <c r="G158" s="150"/>
      <c r="H158" s="150"/>
    </row>
    <row r="159" spans="1:8" ht="12.75">
      <c r="A159" s="4"/>
      <c r="B159" s="4"/>
      <c r="C159" s="3"/>
      <c r="D159" s="150"/>
      <c r="E159" s="150"/>
      <c r="F159" s="150"/>
      <c r="G159" s="150"/>
      <c r="H159" s="150"/>
    </row>
    <row r="160" spans="1:8" ht="12.75">
      <c r="A160" s="4"/>
      <c r="B160" s="4"/>
      <c r="C160" s="3"/>
      <c r="D160" s="150"/>
      <c r="E160" s="150"/>
      <c r="F160" s="150"/>
      <c r="G160" s="150"/>
      <c r="H160" s="150"/>
    </row>
    <row r="161" spans="1:8" ht="12.75">
      <c r="A161" s="4"/>
      <c r="B161" s="4"/>
      <c r="C161" s="3"/>
      <c r="D161" s="150"/>
      <c r="E161" s="150"/>
      <c r="F161" s="150"/>
      <c r="G161" s="150"/>
      <c r="H161" s="150"/>
    </row>
    <row r="162" spans="1:8" ht="12.75">
      <c r="A162" s="4"/>
      <c r="B162" s="4"/>
      <c r="C162" s="3"/>
      <c r="D162" s="150"/>
      <c r="E162" s="150"/>
      <c r="F162" s="150"/>
      <c r="G162" s="150"/>
      <c r="H162" s="150"/>
    </row>
    <row r="163" spans="1:11" s="148" customFormat="1" ht="12.75">
      <c r="A163" s="4"/>
      <c r="B163" s="4"/>
      <c r="C163" s="3"/>
      <c r="D163" s="150"/>
      <c r="E163" s="150"/>
      <c r="F163" s="150"/>
      <c r="G163" s="150"/>
      <c r="H163" s="150"/>
      <c r="J163"/>
      <c r="K163" s="452"/>
    </row>
    <row r="164" spans="1:11" s="148" customFormat="1" ht="12.75">
      <c r="A164" s="4"/>
      <c r="B164" s="4"/>
      <c r="C164" s="3"/>
      <c r="D164" s="150"/>
      <c r="E164" s="150"/>
      <c r="F164" s="150"/>
      <c r="G164" s="150"/>
      <c r="H164" s="150"/>
      <c r="J164"/>
      <c r="K164" s="452"/>
    </row>
    <row r="165" spans="1:11" s="148" customFormat="1" ht="12.75">
      <c r="A165" s="4"/>
      <c r="B165" s="4"/>
      <c r="C165" s="3"/>
      <c r="D165" s="150"/>
      <c r="E165" s="150"/>
      <c r="F165" s="150"/>
      <c r="G165" s="150"/>
      <c r="H165" s="150"/>
      <c r="J165"/>
      <c r="K165" s="452"/>
    </row>
    <row r="166" spans="1:11" s="148" customFormat="1" ht="12.75">
      <c r="A166" s="4"/>
      <c r="B166" s="4"/>
      <c r="C166" s="3"/>
      <c r="D166" s="150"/>
      <c r="E166" s="150"/>
      <c r="F166" s="150"/>
      <c r="G166" s="150"/>
      <c r="H166" s="150"/>
      <c r="J166"/>
      <c r="K166" s="452"/>
    </row>
    <row r="167" spans="1:11" s="148" customFormat="1" ht="12.75">
      <c r="A167" s="4"/>
      <c r="B167" s="4"/>
      <c r="C167" s="3"/>
      <c r="D167" s="150"/>
      <c r="E167" s="150"/>
      <c r="F167" s="150"/>
      <c r="G167" s="150"/>
      <c r="H167" s="150"/>
      <c r="J167"/>
      <c r="K167" s="452"/>
    </row>
    <row r="168" spans="1:11" s="148" customFormat="1" ht="12.75">
      <c r="A168" s="4"/>
      <c r="B168" s="4"/>
      <c r="C168" s="3"/>
      <c r="D168" s="150"/>
      <c r="E168" s="150"/>
      <c r="F168" s="150"/>
      <c r="G168" s="150"/>
      <c r="H168" s="150"/>
      <c r="J168"/>
      <c r="K168" s="452"/>
    </row>
    <row r="169" spans="1:11" s="148" customFormat="1" ht="12.75">
      <c r="A169" s="4"/>
      <c r="B169" s="4"/>
      <c r="C169" s="3"/>
      <c r="D169" s="150"/>
      <c r="E169" s="150"/>
      <c r="F169" s="150"/>
      <c r="G169" s="150"/>
      <c r="H169" s="150"/>
      <c r="J169"/>
      <c r="K169" s="452"/>
    </row>
    <row r="170" spans="1:11" s="148" customFormat="1" ht="12.75">
      <c r="A170" s="4"/>
      <c r="B170" s="4"/>
      <c r="C170" s="3"/>
      <c r="D170" s="150"/>
      <c r="E170" s="150"/>
      <c r="F170" s="150"/>
      <c r="G170" s="150"/>
      <c r="H170" s="150"/>
      <c r="J170"/>
      <c r="K170" s="452"/>
    </row>
    <row r="171" spans="1:11" s="148" customFormat="1" ht="12.75">
      <c r="A171" s="4"/>
      <c r="B171" s="4"/>
      <c r="C171" s="3"/>
      <c r="D171" s="150"/>
      <c r="E171" s="150"/>
      <c r="F171" s="150"/>
      <c r="G171" s="150"/>
      <c r="H171" s="150"/>
      <c r="J171"/>
      <c r="K171" s="452"/>
    </row>
    <row r="172" spans="1:11" s="148" customFormat="1" ht="12.75">
      <c r="A172" s="4"/>
      <c r="B172" s="4"/>
      <c r="C172" s="3"/>
      <c r="D172" s="150"/>
      <c r="E172" s="150"/>
      <c r="F172" s="150"/>
      <c r="G172" s="150"/>
      <c r="H172" s="150"/>
      <c r="J172"/>
      <c r="K172" s="452"/>
    </row>
    <row r="173" spans="1:11" s="148" customFormat="1" ht="12.75">
      <c r="A173" s="4"/>
      <c r="B173" s="4"/>
      <c r="C173" s="3"/>
      <c r="D173" s="150"/>
      <c r="E173" s="150"/>
      <c r="F173" s="150"/>
      <c r="G173" s="150"/>
      <c r="H173" s="150"/>
      <c r="J173"/>
      <c r="K173" s="452"/>
    </row>
    <row r="174" spans="1:11" s="148" customFormat="1" ht="12.75">
      <c r="A174" s="4"/>
      <c r="B174" s="4"/>
      <c r="C174" s="3"/>
      <c r="D174" s="150"/>
      <c r="E174" s="150"/>
      <c r="F174" s="150"/>
      <c r="G174" s="150"/>
      <c r="H174" s="150"/>
      <c r="J174"/>
      <c r="K174" s="452"/>
    </row>
    <row r="175" spans="1:11" s="148" customFormat="1" ht="12.75">
      <c r="A175" s="4"/>
      <c r="B175" s="4"/>
      <c r="C175" s="3"/>
      <c r="D175" s="150"/>
      <c r="E175" s="150"/>
      <c r="F175" s="150"/>
      <c r="G175" s="150"/>
      <c r="H175" s="150"/>
      <c r="J175"/>
      <c r="K175" s="452"/>
    </row>
    <row r="176" spans="1:11" s="148" customFormat="1" ht="12.75">
      <c r="A176" s="4"/>
      <c r="B176" s="4"/>
      <c r="C176" s="3"/>
      <c r="D176" s="150"/>
      <c r="E176" s="150"/>
      <c r="F176" s="150"/>
      <c r="G176" s="150"/>
      <c r="H176" s="150"/>
      <c r="J176"/>
      <c r="K176" s="452"/>
    </row>
    <row r="177" spans="1:11" s="148" customFormat="1" ht="12.75">
      <c r="A177" s="4"/>
      <c r="B177" s="4"/>
      <c r="C177"/>
      <c r="D177" s="150"/>
      <c r="E177" s="150"/>
      <c r="F177" s="150"/>
      <c r="G177" s="150"/>
      <c r="H177" s="150"/>
      <c r="J177"/>
      <c r="K177" s="452"/>
    </row>
  </sheetData>
  <sheetProtection/>
  <mergeCells count="10">
    <mergeCell ref="F2:F3"/>
    <mergeCell ref="I2:I3"/>
    <mergeCell ref="A1:I1"/>
    <mergeCell ref="A2:A3"/>
    <mergeCell ref="C2:C3"/>
    <mergeCell ref="H2:H3"/>
    <mergeCell ref="B2:B3"/>
    <mergeCell ref="D2:D3"/>
    <mergeCell ref="E2:E3"/>
    <mergeCell ref="G2:G3"/>
  </mergeCells>
  <printOptions horizontalCentered="1"/>
  <pageMargins left="0.16" right="0.17" top="0.41" bottom="0.47" header="0.22" footer="0.23"/>
  <pageSetup horizontalDpi="600" verticalDpi="600" orientation="landscape" paperSize="9" scale="105" r:id="rId1"/>
  <headerFooter alignWithMargins="0">
    <oddFooter>&amp;R&amp;P</oddFooter>
  </headerFooter>
  <rowBreaks count="4" manualBreakCount="4">
    <brk id="31" max="8" man="1"/>
    <brk id="50" max="8" man="1"/>
    <brk id="72" max="8" man="1"/>
    <brk id="9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70" workbookViewId="0" topLeftCell="A34">
      <selection activeCell="B52" sqref="B52:G59"/>
    </sheetView>
  </sheetViews>
  <sheetFormatPr defaultColWidth="9.140625" defaultRowHeight="12.75" customHeight="1"/>
  <cols>
    <col min="1" max="1" width="8.8515625" style="0" customWidth="1"/>
    <col min="2" max="2" width="70.28125" style="0" customWidth="1"/>
    <col min="3" max="3" width="20.00390625" style="0" customWidth="1"/>
    <col min="4" max="4" width="19.28125" style="0" customWidth="1"/>
    <col min="5" max="5" width="19.140625" style="0" customWidth="1"/>
    <col min="6" max="6" width="11.28125" style="0" hidden="1" customWidth="1"/>
    <col min="7" max="7" width="10.140625" style="0" customWidth="1"/>
    <col min="8" max="8" width="9.421875" style="0" customWidth="1"/>
    <col min="9" max="9" width="19.57421875" style="0" customWidth="1"/>
    <col min="10" max="10" width="10.140625" style="0" bestFit="1" customWidth="1"/>
    <col min="11" max="11" width="11.00390625" style="0" bestFit="1" customWidth="1"/>
  </cols>
  <sheetData>
    <row r="1" spans="1:9" ht="39" customHeight="1" thickBot="1">
      <c r="A1" s="569" t="s">
        <v>478</v>
      </c>
      <c r="B1" s="570"/>
      <c r="C1" s="570"/>
      <c r="D1" s="570"/>
      <c r="E1" s="570"/>
      <c r="F1" s="570"/>
      <c r="G1" s="570"/>
      <c r="H1" s="571"/>
      <c r="I1" s="131"/>
    </row>
    <row r="2" spans="1:8" ht="72" customHeight="1" thickTop="1">
      <c r="A2" s="486" t="s">
        <v>64</v>
      </c>
      <c r="B2" s="115" t="s">
        <v>236</v>
      </c>
      <c r="C2" s="487" t="s">
        <v>526</v>
      </c>
      <c r="D2" s="487" t="s">
        <v>541</v>
      </c>
      <c r="E2" s="487" t="s">
        <v>531</v>
      </c>
      <c r="F2" s="487" t="s">
        <v>120</v>
      </c>
      <c r="G2" s="487" t="s">
        <v>120</v>
      </c>
      <c r="H2" s="488" t="s">
        <v>226</v>
      </c>
    </row>
    <row r="3" spans="1:8" ht="15.75" customHeight="1">
      <c r="A3" s="222">
        <v>1</v>
      </c>
      <c r="B3" s="331">
        <v>2</v>
      </c>
      <c r="C3" s="332">
        <v>3</v>
      </c>
      <c r="D3" s="332">
        <v>4</v>
      </c>
      <c r="E3" s="332">
        <v>5</v>
      </c>
      <c r="F3" s="332" t="s">
        <v>398</v>
      </c>
      <c r="G3" s="333" t="s">
        <v>502</v>
      </c>
      <c r="H3" s="112">
        <v>7</v>
      </c>
    </row>
    <row r="4" spans="1:9" ht="24" customHeight="1">
      <c r="A4" s="169"/>
      <c r="B4" s="170" t="s">
        <v>442</v>
      </c>
      <c r="C4" s="172">
        <f>C5+C34+C39</f>
        <v>11221900</v>
      </c>
      <c r="D4" s="172">
        <f>D5+D34+D39</f>
        <v>11153411.48</v>
      </c>
      <c r="E4" s="172">
        <f>E5+E34+E39</f>
        <v>11214000</v>
      </c>
      <c r="F4" s="172">
        <f>E4/D4*100</f>
        <v>100.54322859071993</v>
      </c>
      <c r="G4" s="172">
        <f>IF(C4&gt;0,E4/C4*100,0)</f>
        <v>99.92960193906558</v>
      </c>
      <c r="H4" s="171">
        <f aca="true" t="shared" si="0" ref="H4:H50">E4/$E$50*100</f>
        <v>79.05939750864987</v>
      </c>
      <c r="I4" s="1"/>
    </row>
    <row r="5" spans="1:9" ht="15.75" customHeight="1">
      <c r="A5" s="275">
        <v>410000</v>
      </c>
      <c r="B5" s="146" t="s">
        <v>449</v>
      </c>
      <c r="C5" s="201">
        <f>C6+C11+C21+C25+C27+C29+C32</f>
        <v>10889900</v>
      </c>
      <c r="D5" s="201">
        <f>D6+D11+D21+D25+D27+D29+D32</f>
        <v>10958905.48</v>
      </c>
      <c r="E5" s="201">
        <f>E6+E11+E21+E25+E27+E29+E32</f>
        <v>10875500</v>
      </c>
      <c r="F5" s="342">
        <f aca="true" t="shared" si="1" ref="F5:F50">E5/D5*100</f>
        <v>99.23892509017242</v>
      </c>
      <c r="G5" s="201">
        <f aca="true" t="shared" si="2" ref="G5:G50">IF(C5&gt;0,E5/C5*100,0)</f>
        <v>99.86776738078403</v>
      </c>
      <c r="H5" s="489">
        <f t="shared" si="0"/>
        <v>76.67295145401476</v>
      </c>
      <c r="I5" s="1"/>
    </row>
    <row r="6" spans="1:11" ht="15.75" customHeight="1">
      <c r="A6" s="207">
        <v>411000</v>
      </c>
      <c r="B6" s="117" t="s">
        <v>437</v>
      </c>
      <c r="C6" s="126">
        <f>SUM(C7:C10)</f>
        <v>4045900</v>
      </c>
      <c r="D6" s="126">
        <f>SUM(D7:D10)</f>
        <v>3921178.25</v>
      </c>
      <c r="E6" s="126">
        <f>SUM(E7:E10)</f>
        <v>3832000</v>
      </c>
      <c r="F6" s="341">
        <f t="shared" si="1"/>
        <v>97.7257282297738</v>
      </c>
      <c r="G6" s="126">
        <f t="shared" si="2"/>
        <v>94.71316641538348</v>
      </c>
      <c r="H6" s="307">
        <f t="shared" si="0"/>
        <v>27.015838349665266</v>
      </c>
      <c r="I6" s="1"/>
      <c r="J6" s="1"/>
      <c r="K6" s="92"/>
    </row>
    <row r="7" spans="1:11" ht="13.5" customHeight="1">
      <c r="A7" s="206">
        <v>411100</v>
      </c>
      <c r="B7" s="273" t="s">
        <v>431</v>
      </c>
      <c r="C7" s="127">
        <f>SUMIF(Org!$C$10:Org!$D$489,411100,Org!E$10:Org!E$490)</f>
        <v>2975000</v>
      </c>
      <c r="D7" s="127">
        <f>SUMIF(Org!$C$10:Org!$D$489,411100,Org!F$10:Org!F$490)</f>
        <v>3092935</v>
      </c>
      <c r="E7" s="127">
        <f>SUMIF(Org!$C$10:Org!$D$489,411100,Org!G$10:Org!G$490)</f>
        <v>2826000</v>
      </c>
      <c r="F7" s="344">
        <f t="shared" si="1"/>
        <v>91.36952441612902</v>
      </c>
      <c r="G7" s="344">
        <f t="shared" si="2"/>
        <v>94.99159663865547</v>
      </c>
      <c r="H7" s="345">
        <f t="shared" si="0"/>
        <v>19.923475776658155</v>
      </c>
      <c r="I7" s="1"/>
      <c r="J7" s="1"/>
      <c r="K7" s="92"/>
    </row>
    <row r="8" spans="1:11" ht="25.5" customHeight="1">
      <c r="A8" s="206">
        <v>411200</v>
      </c>
      <c r="B8" s="274" t="s">
        <v>438</v>
      </c>
      <c r="C8" s="127">
        <f>SUMIF(Org!$C$8:Org!$D$489,411200,Org!E$8:Org!E$491)</f>
        <v>811600</v>
      </c>
      <c r="D8" s="127">
        <f>SUMIF(Org!$C$8:Org!$D$489,411200,Org!F$8:Org!F$491)</f>
        <v>763062.25</v>
      </c>
      <c r="E8" s="127">
        <f>SUMIF(Org!$C$8:Org!$D$489,411200,Org!G$8:Org!G$491)</f>
        <v>752500</v>
      </c>
      <c r="F8" s="344">
        <f t="shared" si="1"/>
        <v>98.61580755698502</v>
      </c>
      <c r="G8" s="344">
        <f t="shared" si="2"/>
        <v>92.71808772794479</v>
      </c>
      <c r="H8" s="345">
        <f t="shared" si="0"/>
        <v>5.305171805355719</v>
      </c>
      <c r="I8" s="1"/>
      <c r="J8" s="1"/>
      <c r="K8" s="92"/>
    </row>
    <row r="9" spans="1:11" ht="14.25" customHeight="1">
      <c r="A9" s="206">
        <v>411300</v>
      </c>
      <c r="B9" s="273" t="s">
        <v>432</v>
      </c>
      <c r="C9" s="127">
        <f>SUMIF(Org!$C$10:Org!$D$489,411300,Org!E$10:Org!E$491)</f>
        <v>74300</v>
      </c>
      <c r="D9" s="127">
        <f>SUMIF(Org!$C$10:Org!$D$489,411300,Org!F$10:Org!F$491)</f>
        <v>35100</v>
      </c>
      <c r="E9" s="127">
        <f>SUMIF(Org!$C$10:Org!$D$489,411300,Org!G$10:Org!G$491)</f>
        <v>38000</v>
      </c>
      <c r="F9" s="344">
        <f t="shared" si="1"/>
        <v>108.26210826210827</v>
      </c>
      <c r="G9" s="344">
        <f t="shared" si="2"/>
        <v>51.14401076716016</v>
      </c>
      <c r="H9" s="345">
        <f t="shared" si="0"/>
        <v>0.267902363592714</v>
      </c>
      <c r="I9" s="1"/>
      <c r="J9" s="1"/>
      <c r="K9" s="92"/>
    </row>
    <row r="10" spans="1:11" ht="14.25" customHeight="1">
      <c r="A10" s="206">
        <v>411400</v>
      </c>
      <c r="B10" s="273" t="s">
        <v>433</v>
      </c>
      <c r="C10" s="127">
        <f>SUMIF(Org!$C$10:Org!$D$489,411400,Org!E$10:Org!E$491)</f>
        <v>185000</v>
      </c>
      <c r="D10" s="127">
        <f>SUMIF(Org!$C$10:Org!$D$489,411400,Org!F$10:Org!F$491)</f>
        <v>30081</v>
      </c>
      <c r="E10" s="127">
        <f>SUMIF(Org!$C$10:Org!$D$489,411400,Org!G$10:Org!G$491)</f>
        <v>215500</v>
      </c>
      <c r="F10" s="344">
        <f t="shared" si="1"/>
        <v>716.3990558824506</v>
      </c>
      <c r="G10" s="344">
        <f t="shared" si="2"/>
        <v>116.4864864864865</v>
      </c>
      <c r="H10" s="345">
        <f t="shared" si="0"/>
        <v>1.519288404058681</v>
      </c>
      <c r="I10" s="1"/>
      <c r="J10" s="1"/>
      <c r="K10" s="92"/>
    </row>
    <row r="11" spans="1:9" ht="15.75" customHeight="1">
      <c r="A11" s="207">
        <v>412000</v>
      </c>
      <c r="B11" s="118" t="s">
        <v>145</v>
      </c>
      <c r="C11" s="126">
        <f>SUM(C12:C20)</f>
        <v>2488300</v>
      </c>
      <c r="D11" s="126">
        <f>SUM(D12:D20)</f>
        <v>2643552.73</v>
      </c>
      <c r="E11" s="126">
        <f>SUM(E12:E20)</f>
        <v>2599050</v>
      </c>
      <c r="F11" s="341">
        <f t="shared" si="1"/>
        <v>98.31655599319178</v>
      </c>
      <c r="G11" s="126">
        <f t="shared" si="2"/>
        <v>104.45082988385646</v>
      </c>
      <c r="H11" s="307">
        <f t="shared" si="0"/>
        <v>18.323464160411667</v>
      </c>
      <c r="I11" s="1"/>
    </row>
    <row r="12" spans="1:15" ht="15" customHeight="1">
      <c r="A12" s="208">
        <v>412100</v>
      </c>
      <c r="B12" s="119" t="s">
        <v>146</v>
      </c>
      <c r="C12" s="127">
        <f>SUMIF(Org!$C$10:Org!$D$489,412100,Org!E$10:Org!E$490)</f>
        <v>107000</v>
      </c>
      <c r="D12" s="127">
        <f>SUMIF(Org!$C$10:Org!$D$489,412100,Org!F$10:Org!F$490)</f>
        <v>86340</v>
      </c>
      <c r="E12" s="127">
        <f>SUMIF(Org!$C$10:Org!$D$489,412100,Org!G$10:Org!G$490)</f>
        <v>52850</v>
      </c>
      <c r="F12" s="344">
        <f t="shared" si="1"/>
        <v>61.21148946027334</v>
      </c>
      <c r="G12" s="344">
        <f t="shared" si="2"/>
        <v>49.39252336448598</v>
      </c>
      <c r="H12" s="345">
        <f t="shared" si="0"/>
        <v>0.3725957872598667</v>
      </c>
      <c r="K12" s="1"/>
      <c r="L12" s="1"/>
      <c r="M12" s="1"/>
      <c r="N12" s="1"/>
      <c r="O12" s="1"/>
    </row>
    <row r="13" spans="1:15" ht="27" customHeight="1">
      <c r="A13" s="208">
        <v>412200</v>
      </c>
      <c r="B13" s="119" t="s">
        <v>147</v>
      </c>
      <c r="C13" s="127">
        <f>SUMIF(Org!$C$10:Org!$D$489,412200,Org!E$10:Org!E$490)</f>
        <v>388800</v>
      </c>
      <c r="D13" s="127">
        <f>SUMIF(Org!$C$10:Org!$D$489,412200,Org!F$10:Org!F$490)</f>
        <v>436075</v>
      </c>
      <c r="E13" s="127">
        <f>SUMIF(Org!$C$10:Org!$D$489,412200,Org!G$10:Org!G$490)</f>
        <v>444400</v>
      </c>
      <c r="F13" s="344">
        <f t="shared" si="1"/>
        <v>101.90907527374877</v>
      </c>
      <c r="G13" s="344">
        <f t="shared" si="2"/>
        <v>114.30041152263375</v>
      </c>
      <c r="H13" s="345">
        <f t="shared" si="0"/>
        <v>3.1330476415947923</v>
      </c>
      <c r="K13" s="1"/>
      <c r="L13" s="1"/>
      <c r="M13" s="1"/>
      <c r="N13" s="1"/>
      <c r="O13" s="1"/>
    </row>
    <row r="14" spans="1:15" ht="14.25" customHeight="1">
      <c r="A14" s="208">
        <v>412300</v>
      </c>
      <c r="B14" s="120" t="s">
        <v>148</v>
      </c>
      <c r="C14" s="127">
        <f>SUMIF(Org!$C$10:Org!$D$489,412300,Org!E$10:Org!E$490)</f>
        <v>86500</v>
      </c>
      <c r="D14" s="127">
        <f>SUMIF(Org!$C$10:Org!$D$489,412300,Org!F$10:Org!F$490)</f>
        <v>76392.5</v>
      </c>
      <c r="E14" s="127">
        <f>SUMIF(Org!$C$10:Org!$D$489,412300,Org!G$10:Org!G$490)</f>
        <v>80700</v>
      </c>
      <c r="F14" s="344">
        <f t="shared" si="1"/>
        <v>105.63864253689826</v>
      </c>
      <c r="G14" s="344">
        <f t="shared" si="2"/>
        <v>93.29479768786128</v>
      </c>
      <c r="H14" s="345">
        <f t="shared" si="0"/>
        <v>0.5689400195245269</v>
      </c>
      <c r="K14" s="1"/>
      <c r="L14" s="1"/>
      <c r="M14" s="1"/>
      <c r="N14" s="1"/>
      <c r="O14" s="1"/>
    </row>
    <row r="15" spans="1:15" ht="14.25" customHeight="1">
      <c r="A15" s="208">
        <v>412400</v>
      </c>
      <c r="B15" s="120" t="s">
        <v>149</v>
      </c>
      <c r="C15" s="127">
        <f>SUMIF(Org!$C$10:Org!$D$489,412400,Org!E$10:Org!E$490)</f>
        <v>80000</v>
      </c>
      <c r="D15" s="127">
        <f>SUMIF(Org!$C$10:Org!$D$489,412400,Org!F$10:Org!F$490)</f>
        <v>69144.5</v>
      </c>
      <c r="E15" s="127">
        <f>SUMIF(Org!$C$10:Org!$D$489,412400,Org!G$10:Org!G$490)</f>
        <v>84200</v>
      </c>
      <c r="F15" s="344">
        <f t="shared" si="1"/>
        <v>121.77396611444149</v>
      </c>
      <c r="G15" s="344">
        <f t="shared" si="2"/>
        <v>105.25</v>
      </c>
      <c r="H15" s="345">
        <f t="shared" si="0"/>
        <v>0.5936152372238558</v>
      </c>
      <c r="K15" s="1"/>
      <c r="L15" s="1"/>
      <c r="M15" s="1"/>
      <c r="N15" s="1"/>
      <c r="O15" s="1"/>
    </row>
    <row r="16" spans="1:15" ht="13.5" customHeight="1">
      <c r="A16" s="208">
        <v>412500</v>
      </c>
      <c r="B16" s="120" t="s">
        <v>150</v>
      </c>
      <c r="C16" s="127">
        <f>SUMIF(Org!$C$10:Org!$D$489,412500,Org!E$10:Org!E$490)</f>
        <v>392400</v>
      </c>
      <c r="D16" s="127">
        <f>SUMIF(Org!$C$10:Org!$D$489,412500,Org!F$10:Org!F$490)</f>
        <v>394741.88</v>
      </c>
      <c r="E16" s="127">
        <f>SUMIF(Org!$C$10:Org!$D$489,412500,Org!G$10:Org!G$490)</f>
        <v>422000</v>
      </c>
      <c r="F16" s="344">
        <f t="shared" si="1"/>
        <v>106.9053022699289</v>
      </c>
      <c r="G16" s="344">
        <f t="shared" si="2"/>
        <v>107.54332313965342</v>
      </c>
      <c r="H16" s="345">
        <f t="shared" si="0"/>
        <v>2.9751262483190875</v>
      </c>
      <c r="K16" s="1"/>
      <c r="L16" s="1"/>
      <c r="M16" s="1"/>
      <c r="N16" s="1"/>
      <c r="O16" s="1"/>
    </row>
    <row r="17" spans="1:15" ht="12.75" customHeight="1">
      <c r="A17" s="208">
        <v>412600</v>
      </c>
      <c r="B17" s="120" t="s">
        <v>151</v>
      </c>
      <c r="C17" s="127">
        <f>SUMIF(Org!$C$10:Org!$D$489,412600,Org!E$10:Org!E$490)</f>
        <v>11100</v>
      </c>
      <c r="D17" s="127">
        <f>SUMIF(Org!$C$10:Org!$D$489,412600,Org!F$10:Org!F$490)</f>
        <v>9360</v>
      </c>
      <c r="E17" s="127">
        <f>SUMIF(Org!$C$10:Org!$D$489,412600,Org!G$10:Org!G$490)</f>
        <v>10100</v>
      </c>
      <c r="F17" s="344">
        <f t="shared" si="1"/>
        <v>107.9059829059829</v>
      </c>
      <c r="G17" s="344">
        <f t="shared" si="2"/>
        <v>90.990990990991</v>
      </c>
      <c r="H17" s="345">
        <f t="shared" si="0"/>
        <v>0.07120562821806346</v>
      </c>
      <c r="K17" s="1"/>
      <c r="L17" s="1"/>
      <c r="M17" s="1"/>
      <c r="N17" s="1"/>
      <c r="O17" s="1"/>
    </row>
    <row r="18" spans="1:15" ht="12.75" customHeight="1">
      <c r="A18" s="208">
        <v>412700</v>
      </c>
      <c r="B18" s="119" t="s">
        <v>152</v>
      </c>
      <c r="C18" s="127">
        <f>SUMIF(Org!$C$10:Org!$D$489,412700,Org!E$10:Org!E$490)</f>
        <v>374100</v>
      </c>
      <c r="D18" s="127">
        <f>SUMIF(Org!$C$10:Org!$D$489,412700,Org!F$10:Org!F$490)</f>
        <v>390650</v>
      </c>
      <c r="E18" s="127">
        <f>SUMIF(Org!$C$10:Org!$D$489,412700,Org!G$10:Org!G$490)</f>
        <v>349600</v>
      </c>
      <c r="F18" s="344">
        <f t="shared" si="1"/>
        <v>89.49187252015871</v>
      </c>
      <c r="G18" s="344">
        <f t="shared" si="2"/>
        <v>93.45094894413258</v>
      </c>
      <c r="H18" s="345">
        <f t="shared" si="0"/>
        <v>2.464701745052969</v>
      </c>
      <c r="K18" s="1"/>
      <c r="L18" s="1"/>
      <c r="M18" s="1"/>
      <c r="N18" s="1"/>
      <c r="O18" s="1"/>
    </row>
    <row r="19" spans="1:15" ht="15" customHeight="1">
      <c r="A19" s="209">
        <v>412800</v>
      </c>
      <c r="B19" s="121" t="s">
        <v>153</v>
      </c>
      <c r="C19" s="127">
        <f>SUMIF(Org!$C$10:Org!$D$489,412800,Org!E$10:Org!E$490)</f>
        <v>520000</v>
      </c>
      <c r="D19" s="127">
        <f>SUMIF(Org!$C$10:Org!$D$489,412800,Org!F$10:Org!F$490)</f>
        <v>621200.99</v>
      </c>
      <c r="E19" s="127">
        <f>SUMIF(Org!$C$10:Org!$D$489,412800,Org!G$10:Org!G$490)</f>
        <v>595000</v>
      </c>
      <c r="F19" s="344">
        <f t="shared" si="1"/>
        <v>95.78220408180613</v>
      </c>
      <c r="G19" s="344">
        <f t="shared" si="2"/>
        <v>114.42307692307692</v>
      </c>
      <c r="H19" s="345">
        <f t="shared" si="0"/>
        <v>4.194787008885917</v>
      </c>
      <c r="K19" s="1"/>
      <c r="L19" s="1"/>
      <c r="M19" s="1"/>
      <c r="N19" s="1"/>
      <c r="O19" s="1"/>
    </row>
    <row r="20" spans="1:15" ht="12.75" customHeight="1">
      <c r="A20" s="209">
        <v>412900</v>
      </c>
      <c r="B20" s="162" t="s">
        <v>439</v>
      </c>
      <c r="C20" s="128">
        <f>SUMIF(Org!$C$10:Org!$D$489,412900,Org!E$10:Org!E$490)</f>
        <v>528400</v>
      </c>
      <c r="D20" s="127">
        <f>SUMIF(Org!$C$10:Org!$D$489,412900,Org!F$10:Org!F$490)</f>
        <v>559647.86</v>
      </c>
      <c r="E20" s="127">
        <f>SUMIF(Org!$C$10:Org!$D$489,412900,Org!G$10:Org!G$490)</f>
        <v>560200</v>
      </c>
      <c r="F20" s="344">
        <f t="shared" si="1"/>
        <v>100.09865846712967</v>
      </c>
      <c r="G20" s="344">
        <f t="shared" si="2"/>
        <v>106.01816805450417</v>
      </c>
      <c r="H20" s="345">
        <f t="shared" si="0"/>
        <v>3.9494448443325894</v>
      </c>
      <c r="K20" s="1"/>
      <c r="L20" s="1"/>
      <c r="M20" s="1"/>
      <c r="N20" s="1"/>
      <c r="O20" s="1"/>
    </row>
    <row r="21" spans="1:15" ht="15.75" customHeight="1">
      <c r="A21" s="207">
        <v>413000</v>
      </c>
      <c r="B21" s="123" t="s">
        <v>155</v>
      </c>
      <c r="C21" s="129">
        <f>SUM(C22:C24)</f>
        <v>389500</v>
      </c>
      <c r="D21" s="129">
        <f>SUM(D22:D24)</f>
        <v>375825</v>
      </c>
      <c r="E21" s="129">
        <f>SUM(E22:E24)</f>
        <v>290500</v>
      </c>
      <c r="F21" s="341">
        <f t="shared" si="1"/>
        <v>77.29661411561231</v>
      </c>
      <c r="G21" s="129">
        <f t="shared" si="2"/>
        <v>74.58279845956355</v>
      </c>
      <c r="H21" s="490">
        <f t="shared" si="0"/>
        <v>2.048043069044301</v>
      </c>
      <c r="I21" s="1"/>
      <c r="K21" s="1"/>
      <c r="L21" s="1"/>
      <c r="M21" s="1"/>
      <c r="N21" s="1"/>
      <c r="O21" s="1"/>
    </row>
    <row r="22" spans="1:15" ht="16.5" customHeight="1">
      <c r="A22" s="206">
        <v>413300</v>
      </c>
      <c r="B22" s="119" t="s">
        <v>156</v>
      </c>
      <c r="C22" s="130">
        <f>SUMIF(Org!$C$10:Org!$D$489,413300,Org!E$10:Org!E$490)</f>
        <v>385500</v>
      </c>
      <c r="D22" s="130">
        <f>SUMIF(Org!$C$10:Org!$D$489,413300,Org!F$10:Org!F$490)</f>
        <v>371825</v>
      </c>
      <c r="E22" s="130">
        <f>SUMIF(Org!$C$10:Org!$D$489,413300,Org!G$10:Org!G$490)</f>
        <v>250500</v>
      </c>
      <c r="F22" s="344">
        <f t="shared" si="1"/>
        <v>67.37040274322598</v>
      </c>
      <c r="G22" s="344">
        <f t="shared" si="2"/>
        <v>64.98054474708171</v>
      </c>
      <c r="H22" s="345">
        <f t="shared" si="0"/>
        <v>1.7660405810519701</v>
      </c>
      <c r="K22" s="1"/>
      <c r="L22" s="1"/>
      <c r="M22" s="1"/>
      <c r="N22" s="1"/>
      <c r="O22" s="1"/>
    </row>
    <row r="23" spans="1:15" ht="15" customHeight="1">
      <c r="A23" s="206">
        <v>413400</v>
      </c>
      <c r="B23" s="119" t="s">
        <v>157</v>
      </c>
      <c r="C23" s="130">
        <f>SUMIF(Org!$C$10:Org!$D$489,413400,Org!E$10:Org!E$490)</f>
        <v>4000</v>
      </c>
      <c r="D23" s="130">
        <f>SUMIF(Org!$C$10:Org!$D$489,413400,Org!F$10:Org!F$490)</f>
        <v>4000</v>
      </c>
      <c r="E23" s="130">
        <f>SUMIF(Org!$C$10:Org!$D$489,413400,Org!G$10:Org!G$490)</f>
        <v>4000</v>
      </c>
      <c r="F23" s="344">
        <f t="shared" si="1"/>
        <v>100</v>
      </c>
      <c r="G23" s="344">
        <f t="shared" si="2"/>
        <v>100</v>
      </c>
      <c r="H23" s="345">
        <f t="shared" si="0"/>
        <v>0.028200248799233052</v>
      </c>
      <c r="K23" s="1"/>
      <c r="L23" s="1"/>
      <c r="M23" s="1"/>
      <c r="N23" s="1"/>
      <c r="O23" s="1"/>
    </row>
    <row r="24" spans="1:15" ht="13.5" customHeight="1" hidden="1">
      <c r="A24" s="206">
        <v>413700</v>
      </c>
      <c r="B24" s="119" t="s">
        <v>158</v>
      </c>
      <c r="C24" s="130">
        <f>SUMIF(Org!$C$10:Org!$D$489,413700,Org!E$10:Org!E$490)</f>
        <v>0</v>
      </c>
      <c r="D24" s="130">
        <f>SUMIF(Org!$C$10:Org!$D$489,413700,Org!F$10:Org!F$490)</f>
        <v>0</v>
      </c>
      <c r="E24" s="130">
        <f>SUMIF(Org!$C$10:Org!$D$489,413700,Org!G$10:Org!G$490)</f>
        <v>36000</v>
      </c>
      <c r="F24" s="172" t="e">
        <f t="shared" si="1"/>
        <v>#DIV/0!</v>
      </c>
      <c r="G24" s="172">
        <f t="shared" si="2"/>
        <v>0</v>
      </c>
      <c r="H24" s="171">
        <f t="shared" si="0"/>
        <v>0.2538022391930975</v>
      </c>
      <c r="K24" s="1"/>
      <c r="L24" s="1"/>
      <c r="M24" s="1"/>
      <c r="N24" s="1"/>
      <c r="O24" s="1"/>
    </row>
    <row r="25" spans="1:15" ht="15.75" customHeight="1">
      <c r="A25" s="207">
        <v>414000</v>
      </c>
      <c r="B25" s="117" t="s">
        <v>201</v>
      </c>
      <c r="C25" s="126">
        <f>SUM(C26)</f>
        <v>400000</v>
      </c>
      <c r="D25" s="126">
        <f>SUM(D26)</f>
        <v>400000</v>
      </c>
      <c r="E25" s="126">
        <f>SUM(E26)</f>
        <v>400000</v>
      </c>
      <c r="F25" s="341">
        <f t="shared" si="1"/>
        <v>100</v>
      </c>
      <c r="G25" s="126">
        <f t="shared" si="2"/>
        <v>100</v>
      </c>
      <c r="H25" s="307">
        <f t="shared" si="0"/>
        <v>2.8200248799233054</v>
      </c>
      <c r="I25" s="1"/>
      <c r="K25" s="1"/>
      <c r="L25" s="1"/>
      <c r="M25" s="1"/>
      <c r="N25" s="1"/>
      <c r="O25" s="1"/>
    </row>
    <row r="26" spans="1:15" ht="15" customHeight="1">
      <c r="A26" s="206">
        <v>414100</v>
      </c>
      <c r="B26" s="119" t="s">
        <v>201</v>
      </c>
      <c r="C26" s="130">
        <f>SUMIF(Org!$C$10:Org!$D$489,414100,Org!E$10:Org!E$490)</f>
        <v>400000</v>
      </c>
      <c r="D26" s="130">
        <f>SUMIF(Org!$C$10:Org!$D$489,414100,Org!F$10:Org!F$490)</f>
        <v>400000</v>
      </c>
      <c r="E26" s="130">
        <f>SUMIF(Org!$C$10:Org!$D$489,414100,Org!G$10:Org!G$490)</f>
        <v>400000</v>
      </c>
      <c r="F26" s="344">
        <f t="shared" si="1"/>
        <v>100</v>
      </c>
      <c r="G26" s="344">
        <f t="shared" si="2"/>
        <v>100</v>
      </c>
      <c r="H26" s="345">
        <f t="shared" si="0"/>
        <v>2.8200248799233054</v>
      </c>
      <c r="K26" s="1"/>
      <c r="L26" s="1"/>
      <c r="M26" s="1"/>
      <c r="N26" s="1"/>
      <c r="O26" s="1"/>
    </row>
    <row r="27" spans="1:15" ht="15.75" customHeight="1">
      <c r="A27" s="207">
        <v>415000</v>
      </c>
      <c r="B27" s="118" t="s">
        <v>159</v>
      </c>
      <c r="C27" s="126">
        <f>SUM(C28)</f>
        <v>886200</v>
      </c>
      <c r="D27" s="126">
        <f>SUM(D28)</f>
        <v>931699.5</v>
      </c>
      <c r="E27" s="126">
        <f>SUM(E28)</f>
        <v>964800</v>
      </c>
      <c r="F27" s="341">
        <f t="shared" si="1"/>
        <v>103.55270127331828</v>
      </c>
      <c r="G27" s="126">
        <f t="shared" si="2"/>
        <v>108.8693297224103</v>
      </c>
      <c r="H27" s="307">
        <f t="shared" si="0"/>
        <v>6.801900010375013</v>
      </c>
      <c r="K27" s="1"/>
      <c r="L27" s="1"/>
      <c r="M27" s="1"/>
      <c r="N27" s="1"/>
      <c r="O27" s="1"/>
    </row>
    <row r="28" spans="1:15" ht="15" customHeight="1">
      <c r="A28" s="209">
        <v>415200</v>
      </c>
      <c r="B28" s="122" t="s">
        <v>160</v>
      </c>
      <c r="C28" s="127">
        <f>SUMIF(Org!$C$10:Org!$D$489,415200,Org!E$10:Org!E$490)</f>
        <v>886200</v>
      </c>
      <c r="D28" s="127">
        <f>SUMIF(Org!$C$10:Org!$D$489,415200,Org!F$10:Org!F$490)</f>
        <v>931699.5</v>
      </c>
      <c r="E28" s="127">
        <f>SUMIF(Org!$C$10:Org!$D$489,415200,Org!G$10:Org!G$490)</f>
        <v>964800</v>
      </c>
      <c r="F28" s="344">
        <f t="shared" si="1"/>
        <v>103.55270127331828</v>
      </c>
      <c r="G28" s="344">
        <f t="shared" si="2"/>
        <v>108.8693297224103</v>
      </c>
      <c r="H28" s="345">
        <f t="shared" si="0"/>
        <v>6.801900010375013</v>
      </c>
      <c r="I28" s="1"/>
      <c r="K28" s="1"/>
      <c r="L28" s="1"/>
      <c r="M28" s="1"/>
      <c r="N28" s="1"/>
      <c r="O28" s="1"/>
    </row>
    <row r="29" spans="1:15" ht="26.25" customHeight="1">
      <c r="A29" s="207">
        <v>416000</v>
      </c>
      <c r="B29" s="117" t="s">
        <v>168</v>
      </c>
      <c r="C29" s="126">
        <f>SUM(C30:C31)</f>
        <v>2520000</v>
      </c>
      <c r="D29" s="126">
        <f>SUM(D30:D31)</f>
        <v>2584750</v>
      </c>
      <c r="E29" s="126">
        <f>SUM(E30:E31)</f>
        <v>2635000</v>
      </c>
      <c r="F29" s="341">
        <f t="shared" si="1"/>
        <v>101.94409517361447</v>
      </c>
      <c r="G29" s="126">
        <f t="shared" si="2"/>
        <v>104.56349206349206</v>
      </c>
      <c r="H29" s="307">
        <f t="shared" si="0"/>
        <v>18.576913896494773</v>
      </c>
      <c r="I29" s="1"/>
      <c r="K29" s="1"/>
      <c r="L29" s="1"/>
      <c r="M29" s="1"/>
      <c r="N29" s="1"/>
      <c r="O29" s="1"/>
    </row>
    <row r="30" spans="1:11" ht="18" customHeight="1">
      <c r="A30" s="206">
        <v>416100</v>
      </c>
      <c r="B30" s="119" t="s">
        <v>161</v>
      </c>
      <c r="C30" s="127">
        <f>SUMIF(Org!$C$10:Org!$D$489,416100,Org!E$10:Org!E$490)</f>
        <v>2230000</v>
      </c>
      <c r="D30" s="127">
        <f>SUMIF(Org!$C$10:Org!$D$489,416100,Org!F$10:Org!F$490)</f>
        <v>2272250</v>
      </c>
      <c r="E30" s="127">
        <f>SUMIF(Org!$C$10:Org!$D$489,416100,Org!G$10:Org!G$490)</f>
        <v>2205000</v>
      </c>
      <c r="F30" s="344">
        <f t="shared" si="1"/>
        <v>97.0403784794807</v>
      </c>
      <c r="G30" s="344">
        <f t="shared" si="2"/>
        <v>98.87892376681614</v>
      </c>
      <c r="H30" s="345">
        <f t="shared" si="0"/>
        <v>15.545387150577222</v>
      </c>
      <c r="K30" s="1"/>
    </row>
    <row r="31" spans="1:8" ht="27" customHeight="1">
      <c r="A31" s="206">
        <v>416300</v>
      </c>
      <c r="B31" s="119" t="s">
        <v>162</v>
      </c>
      <c r="C31" s="127">
        <f>SUMIF(Org!$C$10:Org!$D$489,416300,Org!E$10:Org!E$490)</f>
        <v>290000</v>
      </c>
      <c r="D31" s="127">
        <f>SUMIF(Org!$C$10:Org!$D$489,416300,Org!F$10:Org!F$490)</f>
        <v>312500</v>
      </c>
      <c r="E31" s="127">
        <f>SUMIF(Org!$C$10:Org!$D$489,416300,Org!G$10:Org!G$490)</f>
        <v>430000</v>
      </c>
      <c r="F31" s="344">
        <f t="shared" si="1"/>
        <v>137.6</v>
      </c>
      <c r="G31" s="344">
        <f t="shared" si="2"/>
        <v>148.27586206896552</v>
      </c>
      <c r="H31" s="345">
        <f t="shared" si="0"/>
        <v>3.0315267459175534</v>
      </c>
    </row>
    <row r="32" spans="1:8" ht="16.5" customHeight="1">
      <c r="A32" s="207">
        <v>419000</v>
      </c>
      <c r="B32" s="117" t="s">
        <v>418</v>
      </c>
      <c r="C32" s="126">
        <f>SUM(C33)</f>
        <v>160000</v>
      </c>
      <c r="D32" s="126">
        <f>SUM(D33)</f>
        <v>101900</v>
      </c>
      <c r="E32" s="126">
        <f>SUM(E33)</f>
        <v>154150</v>
      </c>
      <c r="F32" s="341">
        <f t="shared" si="1"/>
        <v>151.27576054955838</v>
      </c>
      <c r="G32" s="126">
        <f t="shared" si="2"/>
        <v>96.34375</v>
      </c>
      <c r="H32" s="307">
        <f t="shared" si="0"/>
        <v>1.0867670881004439</v>
      </c>
    </row>
    <row r="33" spans="1:9" ht="17.25" customHeight="1">
      <c r="A33" s="206">
        <v>419100</v>
      </c>
      <c r="B33" s="334" t="s">
        <v>418</v>
      </c>
      <c r="C33" s="127">
        <f>SUMIF(Org!$C$10:Org!$D$489,419100,Org!E$10:Org!E$490)</f>
        <v>160000</v>
      </c>
      <c r="D33" s="127">
        <f>SUMIF(Org!$C$10:Org!$D$489,419100,Org!F$10:Org!F$490)</f>
        <v>101900</v>
      </c>
      <c r="E33" s="127">
        <f>SUMIF(Org!$C$10:Org!$D$489,419100,Org!G$10:Org!G$490)</f>
        <v>154150</v>
      </c>
      <c r="F33" s="344">
        <f t="shared" si="1"/>
        <v>151.27576054955838</v>
      </c>
      <c r="G33" s="344">
        <f t="shared" si="2"/>
        <v>96.34375</v>
      </c>
      <c r="H33" s="345">
        <f t="shared" si="0"/>
        <v>1.0867670881004439</v>
      </c>
      <c r="I33" s="1"/>
    </row>
    <row r="34" spans="1:9" ht="17.25" customHeight="1">
      <c r="A34" s="275">
        <v>480000</v>
      </c>
      <c r="B34" s="146" t="s">
        <v>441</v>
      </c>
      <c r="C34" s="201">
        <f>SUM(C35:C38)</f>
        <v>172000</v>
      </c>
      <c r="D34" s="201">
        <f>SUM(D35:D38)</f>
        <v>167845.5</v>
      </c>
      <c r="E34" s="201">
        <f>SUM(E35:E38)</f>
        <v>178500</v>
      </c>
      <c r="F34" s="343">
        <f t="shared" si="1"/>
        <v>106.3478019964789</v>
      </c>
      <c r="G34" s="201">
        <f t="shared" si="2"/>
        <v>103.77906976744187</v>
      </c>
      <c r="H34" s="489">
        <f t="shared" si="0"/>
        <v>1.258436102665775</v>
      </c>
      <c r="I34" s="1"/>
    </row>
    <row r="35" spans="1:8" ht="17.25" customHeight="1">
      <c r="A35" s="372">
        <v>487200</v>
      </c>
      <c r="B35" s="373" t="s">
        <v>489</v>
      </c>
      <c r="C35" s="127">
        <f>SUMIF(Org!$C$10:Org!$D$489,487200,Org!E$10:Org!E$490)</f>
        <v>0</v>
      </c>
      <c r="D35" s="127">
        <f>SUMIF(Org!$C$10:Org!$D$489,487200,Org!F$10:Org!F$490)</f>
        <v>2000</v>
      </c>
      <c r="E35" s="127">
        <f>SUMIF(Org!$C$10:Org!$D$489,487200,Org!G$10:Org!G$490)</f>
        <v>7000</v>
      </c>
      <c r="F35" s="371">
        <f t="shared" si="1"/>
        <v>350</v>
      </c>
      <c r="G35" s="344">
        <f t="shared" si="2"/>
        <v>0</v>
      </c>
      <c r="H35" s="345">
        <f t="shared" si="0"/>
        <v>0.04935043539865784</v>
      </c>
    </row>
    <row r="36" spans="1:8" ht="17.25" customHeight="1">
      <c r="A36" s="372">
        <v>487300</v>
      </c>
      <c r="B36" s="373" t="s">
        <v>483</v>
      </c>
      <c r="C36" s="127">
        <f>SUMIF(Org!$C$10:Org!$D$489,487300,Org!E$10:Org!E$490)</f>
        <v>0</v>
      </c>
      <c r="D36" s="127">
        <f>SUMIF(Org!$C$10:Org!$D$489,487300,Org!F$10:Org!F$490)</f>
        <v>2000</v>
      </c>
      <c r="E36" s="127">
        <f>SUMIF(Org!$C$10:Org!$D$489,487300,Org!G$10:Org!G$490)</f>
        <v>500</v>
      </c>
      <c r="F36" s="371">
        <f t="shared" si="1"/>
        <v>25</v>
      </c>
      <c r="G36" s="344">
        <f t="shared" si="2"/>
        <v>0</v>
      </c>
      <c r="H36" s="345">
        <f t="shared" si="0"/>
        <v>0.0035250310999041315</v>
      </c>
    </row>
    <row r="37" spans="1:8" ht="17.25" customHeight="1">
      <c r="A37" s="206">
        <v>487400</v>
      </c>
      <c r="B37" s="334" t="s">
        <v>440</v>
      </c>
      <c r="C37" s="127">
        <f>SUMIF(Org!$C$10:Org!$D$489,487400,Org!E$10:Org!E$490)</f>
        <v>154000</v>
      </c>
      <c r="D37" s="127">
        <f>SUMIF(Org!$C$10:Org!$D$489,487400,Org!F$10:Org!F$490)</f>
        <v>136500</v>
      </c>
      <c r="E37" s="127">
        <f>SUMIF(Org!$C$10:Org!$D$489,487400,Org!G$10:Org!G$490)</f>
        <v>153000</v>
      </c>
      <c r="F37" s="344">
        <f t="shared" si="1"/>
        <v>112.08791208791209</v>
      </c>
      <c r="G37" s="344">
        <f t="shared" si="2"/>
        <v>99.35064935064936</v>
      </c>
      <c r="H37" s="345">
        <f t="shared" si="0"/>
        <v>1.0786595165706645</v>
      </c>
    </row>
    <row r="38" spans="1:8" ht="17.25" customHeight="1">
      <c r="A38" s="206">
        <v>487900</v>
      </c>
      <c r="B38" s="334" t="s">
        <v>455</v>
      </c>
      <c r="C38" s="127">
        <f>SUMIF(Org!$C$10:Org!$D$489,487900,Org!E$10:Org!E$490)</f>
        <v>18000</v>
      </c>
      <c r="D38" s="127">
        <f>SUMIF(Org!$C$10:Org!$D$489,487900,Org!F$10:Org!F$490)</f>
        <v>27345.5</v>
      </c>
      <c r="E38" s="127">
        <f>SUMIF(Org!$C$10:Org!$D$489,487900,Org!G$10:Org!G$490)</f>
        <v>18000</v>
      </c>
      <c r="F38" s="344">
        <f t="shared" si="1"/>
        <v>65.82435866961657</v>
      </c>
      <c r="G38" s="344">
        <f t="shared" si="2"/>
        <v>100</v>
      </c>
      <c r="H38" s="345">
        <f t="shared" si="0"/>
        <v>0.12690111959654876</v>
      </c>
    </row>
    <row r="39" spans="1:9" ht="21.75" customHeight="1">
      <c r="A39" s="275" t="s">
        <v>222</v>
      </c>
      <c r="B39" s="335" t="s">
        <v>420</v>
      </c>
      <c r="C39" s="201">
        <f>Org!E490</f>
        <v>160000</v>
      </c>
      <c r="D39" s="201">
        <f>Org!F490</f>
        <v>26660.5</v>
      </c>
      <c r="E39" s="201">
        <f>Org!G490</f>
        <v>160000</v>
      </c>
      <c r="F39" s="342">
        <f t="shared" si="1"/>
        <v>600.138782093359</v>
      </c>
      <c r="G39" s="201">
        <f t="shared" si="2"/>
        <v>100</v>
      </c>
      <c r="H39" s="489">
        <f t="shared" si="0"/>
        <v>1.1280099519693223</v>
      </c>
      <c r="I39" s="1"/>
    </row>
    <row r="40" spans="1:9" ht="17.25" customHeight="1">
      <c r="A40" s="210">
        <v>510000</v>
      </c>
      <c r="B40" s="276" t="s">
        <v>450</v>
      </c>
      <c r="C40" s="172">
        <f>C41+C46+C48</f>
        <v>1327700</v>
      </c>
      <c r="D40" s="172">
        <f>D41+D46+D48</f>
        <v>1430977.19</v>
      </c>
      <c r="E40" s="172">
        <f>E41+E46+E48</f>
        <v>2970272.02</v>
      </c>
      <c r="F40" s="172">
        <f t="shared" si="1"/>
        <v>207.569487533201</v>
      </c>
      <c r="G40" s="172">
        <f t="shared" si="2"/>
        <v>223.71559990961813</v>
      </c>
      <c r="H40" s="171">
        <f t="shared" si="0"/>
        <v>20.940602491350134</v>
      </c>
      <c r="I40" s="1"/>
    </row>
    <row r="41" spans="1:8" ht="15.75" customHeight="1">
      <c r="A41" s="207">
        <v>511000</v>
      </c>
      <c r="B41" s="124" t="s">
        <v>163</v>
      </c>
      <c r="C41" s="126">
        <f>SUM(C42:C45)</f>
        <v>1262200</v>
      </c>
      <c r="D41" s="126">
        <f>SUM(D42:D45)</f>
        <v>1309923.19</v>
      </c>
      <c r="E41" s="126">
        <f>SUM(E42:E45)</f>
        <v>2846272.02</v>
      </c>
      <c r="F41" s="341">
        <f t="shared" si="1"/>
        <v>217.2854135058102</v>
      </c>
      <c r="G41" s="126">
        <f t="shared" si="2"/>
        <v>225.50087307875137</v>
      </c>
      <c r="H41" s="307">
        <f t="shared" si="0"/>
        <v>20.06639477857391</v>
      </c>
    </row>
    <row r="42" spans="1:9" ht="12.75" customHeight="1">
      <c r="A42" s="209">
        <v>511100</v>
      </c>
      <c r="B42" s="336" t="s">
        <v>164</v>
      </c>
      <c r="C42" s="130">
        <f>SUMIF(Org!$C$10:Org!$D$489,511100,Org!E$10:Org!E$489)</f>
        <v>170000</v>
      </c>
      <c r="D42" s="130">
        <f>SUMIF(Org!$C$10:Org!$D$489,511100,Org!F$10:Org!F$489)</f>
        <v>52468.52</v>
      </c>
      <c r="E42" s="130">
        <f>SUMIF(Org!$C$10:Org!$D$489,511100,Org!G$10:Org!G$489)</f>
        <v>385000</v>
      </c>
      <c r="F42" s="344">
        <f t="shared" si="1"/>
        <v>733.7733177913157</v>
      </c>
      <c r="G42" s="344">
        <f t="shared" si="2"/>
        <v>226.47058823529412</v>
      </c>
      <c r="H42" s="345">
        <f t="shared" si="0"/>
        <v>2.7142739469261814</v>
      </c>
      <c r="I42" s="1"/>
    </row>
    <row r="43" spans="1:8" ht="27" customHeight="1">
      <c r="A43" s="206">
        <v>511200</v>
      </c>
      <c r="B43" s="125" t="s">
        <v>165</v>
      </c>
      <c r="C43" s="130">
        <f>SUMIF(Org!$C$10:Org!$D$489,511200,Org!E$10:Org!E$502)</f>
        <v>899000</v>
      </c>
      <c r="D43" s="130">
        <f>SUMIF(Org!$C$10:Org!$D$489,511200,Org!F$10:Org!F$502)</f>
        <v>1017778.67</v>
      </c>
      <c r="E43" s="130">
        <f>SUMIF(Org!$C$10:Org!$D$489,511200,Org!G$10:Org!G$502)</f>
        <v>2351472.02</v>
      </c>
      <c r="F43" s="344">
        <f t="shared" si="1"/>
        <v>231.03962475456476</v>
      </c>
      <c r="G43" s="344">
        <f t="shared" si="2"/>
        <v>261.56529699666294</v>
      </c>
      <c r="H43" s="345">
        <f t="shared" si="0"/>
        <v>16.578024002108783</v>
      </c>
    </row>
    <row r="44" spans="1:8" ht="12.75" customHeight="1">
      <c r="A44" s="206">
        <v>511300</v>
      </c>
      <c r="B44" s="337" t="s">
        <v>166</v>
      </c>
      <c r="C44" s="130">
        <f>SUMIF(Org!$C$10:Org!$D$489,511300,Org!E$10:Org!E$489)</f>
        <v>163200</v>
      </c>
      <c r="D44" s="130">
        <f>SUMIF(Org!$C$10:Org!$D$489,511300,Org!F$10:Org!F$489)</f>
        <v>221389.5</v>
      </c>
      <c r="E44" s="130">
        <f>SUMIF(Org!$C$10:Org!$D$489,511300,Org!G$10:Org!G$489)</f>
        <v>99800</v>
      </c>
      <c r="F44" s="344">
        <f t="shared" si="1"/>
        <v>45.07892199042863</v>
      </c>
      <c r="G44" s="344">
        <f t="shared" si="2"/>
        <v>61.15196078431373</v>
      </c>
      <c r="H44" s="345">
        <f t="shared" si="0"/>
        <v>0.7035962075408647</v>
      </c>
    </row>
    <row r="45" spans="1:8" ht="12.75" customHeight="1">
      <c r="A45" s="206">
        <v>511400</v>
      </c>
      <c r="B45" s="337" t="s">
        <v>267</v>
      </c>
      <c r="C45" s="130">
        <f>SUMIF(Org!$C$10:Org!$D$489,511400,Org!E$10:Org!E$489)</f>
        <v>30000</v>
      </c>
      <c r="D45" s="130">
        <f>SUMIF(Org!$C$10:Org!$D$489,511400,Org!F$10:Org!F$489)</f>
        <v>18286.5</v>
      </c>
      <c r="E45" s="130">
        <f>SUMIF(Org!$C$10:Org!$D$489,511400,Org!G$10:Org!G$489)</f>
        <v>10000</v>
      </c>
      <c r="F45" s="344">
        <f t="shared" si="1"/>
        <v>54.68515024745031</v>
      </c>
      <c r="G45" s="344">
        <f t="shared" si="2"/>
        <v>33.33333333333333</v>
      </c>
      <c r="H45" s="345">
        <f t="shared" si="0"/>
        <v>0.07050062199808264</v>
      </c>
    </row>
    <row r="46" spans="1:9" ht="15.75" customHeight="1">
      <c r="A46" s="338">
        <v>513000</v>
      </c>
      <c r="B46" s="124" t="s">
        <v>190</v>
      </c>
      <c r="C46" s="126">
        <f>SUM(C47)</f>
        <v>50000</v>
      </c>
      <c r="D46" s="126">
        <f>SUM(D47)</f>
        <v>107000</v>
      </c>
      <c r="E46" s="126">
        <f>SUM(E47)</f>
        <v>110000</v>
      </c>
      <c r="F46" s="341">
        <f t="shared" si="1"/>
        <v>102.803738317757</v>
      </c>
      <c r="G46" s="126">
        <f t="shared" si="2"/>
        <v>220.00000000000003</v>
      </c>
      <c r="H46" s="307">
        <f t="shared" si="0"/>
        <v>0.7755068419789091</v>
      </c>
      <c r="I46" s="1"/>
    </row>
    <row r="47" spans="1:8" ht="12.75" customHeight="1">
      <c r="A47" s="206">
        <v>513100</v>
      </c>
      <c r="B47" s="337" t="s">
        <v>191</v>
      </c>
      <c r="C47" s="130">
        <f>SUMIF(Org!$C$10:Org!$D$489,513100,Org!E$10:Org!E$489)</f>
        <v>50000</v>
      </c>
      <c r="D47" s="130">
        <f>SUMIF(Org!$C$10:Org!$D$489,513100,Org!F$10:Org!F$489)</f>
        <v>107000</v>
      </c>
      <c r="E47" s="130">
        <f>SUMIF(Org!$C$10:Org!$D$489,513100,Org!G$10:Org!G$489)</f>
        <v>110000</v>
      </c>
      <c r="F47" s="344">
        <f t="shared" si="1"/>
        <v>102.803738317757</v>
      </c>
      <c r="G47" s="344">
        <f t="shared" si="2"/>
        <v>220.00000000000003</v>
      </c>
      <c r="H47" s="345">
        <f t="shared" si="0"/>
        <v>0.7755068419789091</v>
      </c>
    </row>
    <row r="48" spans="1:9" ht="28.5" customHeight="1">
      <c r="A48" s="338">
        <v>516000</v>
      </c>
      <c r="B48" s="339" t="s">
        <v>355</v>
      </c>
      <c r="C48" s="126">
        <f>SUM(C49)</f>
        <v>15500</v>
      </c>
      <c r="D48" s="126">
        <f>SUM(D49)</f>
        <v>14054</v>
      </c>
      <c r="E48" s="126">
        <f>SUM(E49)</f>
        <v>14000</v>
      </c>
      <c r="F48" s="341">
        <f t="shared" si="1"/>
        <v>99.6157677529529</v>
      </c>
      <c r="G48" s="126">
        <f t="shared" si="2"/>
        <v>90.32258064516128</v>
      </c>
      <c r="H48" s="307">
        <f t="shared" si="0"/>
        <v>0.09870087079731568</v>
      </c>
      <c r="I48" s="1"/>
    </row>
    <row r="49" spans="1:8" ht="24.75" customHeight="1">
      <c r="A49" s="206">
        <v>516100</v>
      </c>
      <c r="B49" s="125" t="s">
        <v>355</v>
      </c>
      <c r="C49" s="130">
        <f>SUMIF(Org!$C$10:Org!$D$489,516100,Org!E$10:Org!E$489)</f>
        <v>15500</v>
      </c>
      <c r="D49" s="130">
        <f>SUMIF(Org!$C$10:Org!$D$489,516100,Org!F$10:Org!F$489)</f>
        <v>14054</v>
      </c>
      <c r="E49" s="130">
        <f>SUMIF(Org!$C$10:Org!$D$489,516100,Org!G$10:Org!G$489)</f>
        <v>14000</v>
      </c>
      <c r="F49" s="344">
        <f t="shared" si="1"/>
        <v>99.6157677529529</v>
      </c>
      <c r="G49" s="344">
        <f t="shared" si="2"/>
        <v>90.32258064516128</v>
      </c>
      <c r="H49" s="345">
        <f t="shared" si="0"/>
        <v>0.09870087079731568</v>
      </c>
    </row>
    <row r="50" spans="1:9" ht="31.5" customHeight="1" thickBot="1">
      <c r="A50" s="228"/>
      <c r="B50" s="188" t="s">
        <v>328</v>
      </c>
      <c r="C50" s="340">
        <f>C4+C40</f>
        <v>12549600</v>
      </c>
      <c r="D50" s="340">
        <f>D4+D40</f>
        <v>12584388.67</v>
      </c>
      <c r="E50" s="340">
        <f>E4+E40</f>
        <v>14184272.02</v>
      </c>
      <c r="F50" s="340">
        <f t="shared" si="1"/>
        <v>112.71323853667974</v>
      </c>
      <c r="G50" s="340">
        <f t="shared" si="2"/>
        <v>113.02569022120225</v>
      </c>
      <c r="H50" s="173">
        <f t="shared" si="0"/>
        <v>100</v>
      </c>
      <c r="I50" s="1"/>
    </row>
    <row r="51" spans="1:9" ht="31.5" customHeight="1" thickTop="1">
      <c r="A51" s="52"/>
      <c r="B51" s="491"/>
      <c r="C51" s="390"/>
      <c r="D51" s="390"/>
      <c r="E51" s="390"/>
      <c r="F51" s="390"/>
      <c r="G51" s="390"/>
      <c r="H51" s="492"/>
      <c r="I51" s="1"/>
    </row>
    <row r="52" spans="1:8" ht="12.75" customHeight="1">
      <c r="A52" s="17"/>
      <c r="B52" s="303"/>
      <c r="C52" s="18"/>
      <c r="D52" s="18"/>
      <c r="E52" s="18"/>
      <c r="F52" s="18"/>
      <c r="G52" s="18"/>
      <c r="H52" s="17"/>
    </row>
    <row r="53" spans="1:9" ht="12.75" customHeight="1">
      <c r="A53" s="17"/>
      <c r="B53" s="302"/>
      <c r="C53" s="18"/>
      <c r="D53" s="18"/>
      <c r="E53" s="18"/>
      <c r="F53" s="18"/>
      <c r="G53" s="18"/>
      <c r="H53" s="17"/>
      <c r="I53" s="1"/>
    </row>
    <row r="54" spans="2:9" ht="12.75" customHeight="1">
      <c r="B54" s="302"/>
      <c r="C54" s="1"/>
      <c r="D54" s="1"/>
      <c r="E54" s="1"/>
      <c r="F54" s="1"/>
      <c r="G54" s="1"/>
      <c r="I54" s="1"/>
    </row>
    <row r="55" spans="2:7" ht="12.75" customHeight="1">
      <c r="B55" s="212"/>
      <c r="C55" s="261"/>
      <c r="D55" s="261"/>
      <c r="E55" s="261"/>
      <c r="F55" s="261"/>
      <c r="G55" s="1"/>
    </row>
    <row r="56" spans="3:6" ht="12.75" customHeight="1">
      <c r="C56" s="261"/>
      <c r="D56" s="261"/>
      <c r="E56" s="261"/>
      <c r="F56" s="261"/>
    </row>
    <row r="58" spans="3:6" ht="12.75" customHeight="1">
      <c r="C58" s="1"/>
      <c r="D58" s="1"/>
      <c r="E58" s="1"/>
      <c r="F58" s="1"/>
    </row>
    <row r="59" ht="12.75" customHeight="1">
      <c r="E59" s="1"/>
    </row>
  </sheetData>
  <sheetProtection/>
  <mergeCells count="1">
    <mergeCell ref="A1:H1"/>
  </mergeCells>
  <printOptions horizontalCentered="1"/>
  <pageMargins left="0.16" right="0.16" top="0.5" bottom="0.5" header="0.393700787401575" footer="0.2"/>
  <pageSetup horizontalDpi="600" verticalDpi="600" orientation="landscape" paperSize="9" scale="90" r:id="rId1"/>
  <headerFooter alignWithMargins="0">
    <oddFooter>&amp;R&amp;P</oddFooter>
  </headerFooter>
  <rowBreaks count="2" manualBreakCount="2">
    <brk id="31" max="15" man="1"/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37"/>
  <sheetViews>
    <sheetView zoomScale="90" zoomScaleNormal="90" zoomScalePageLayoutView="0" workbookViewId="0" topLeftCell="A28">
      <selection activeCell="A1" sqref="A1:E1"/>
    </sheetView>
  </sheetViews>
  <sheetFormatPr defaultColWidth="9.140625" defaultRowHeight="12.75"/>
  <cols>
    <col min="1" max="1" width="12.8515625" style="0" customWidth="1"/>
    <col min="2" max="2" width="56.140625" style="0" customWidth="1"/>
    <col min="3" max="3" width="24.28125" style="0" customWidth="1"/>
    <col min="4" max="4" width="24.00390625" style="0" customWidth="1"/>
    <col min="5" max="5" width="24.28125" style="0" customWidth="1"/>
    <col min="7" max="7" width="14.00390625" style="0" customWidth="1"/>
    <col min="8" max="8" width="12.421875" style="0" customWidth="1"/>
  </cols>
  <sheetData>
    <row r="1" spans="1:5" ht="39.75" customHeight="1" thickBot="1">
      <c r="A1" s="554" t="s">
        <v>479</v>
      </c>
      <c r="B1" s="554"/>
      <c r="C1" s="554"/>
      <c r="D1" s="554"/>
      <c r="E1" s="554"/>
    </row>
    <row r="2" spans="1:5" ht="18.75" customHeight="1" thickTop="1">
      <c r="A2" s="574" t="s">
        <v>64</v>
      </c>
      <c r="B2" s="561" t="s">
        <v>236</v>
      </c>
      <c r="C2" s="561" t="s">
        <v>548</v>
      </c>
      <c r="D2" s="561" t="s">
        <v>543</v>
      </c>
      <c r="E2" s="572" t="s">
        <v>529</v>
      </c>
    </row>
    <row r="3" spans="1:5" ht="30" customHeight="1">
      <c r="A3" s="575"/>
      <c r="B3" s="562"/>
      <c r="C3" s="562"/>
      <c r="D3" s="562"/>
      <c r="E3" s="573"/>
    </row>
    <row r="4" spans="1:5" s="5" customFormat="1" ht="12.75" customHeight="1">
      <c r="A4" s="222">
        <v>1</v>
      </c>
      <c r="B4" s="111">
        <v>2</v>
      </c>
      <c r="C4" s="111">
        <v>4</v>
      </c>
      <c r="D4" s="111">
        <v>7</v>
      </c>
      <c r="E4" s="495"/>
    </row>
    <row r="5" spans="1:5" ht="12.75">
      <c r="A5" s="169"/>
      <c r="B5" s="186"/>
      <c r="C5" s="203"/>
      <c r="D5" s="203"/>
      <c r="E5" s="496"/>
    </row>
    <row r="6" spans="1:5" ht="29.25" customHeight="1">
      <c r="A6" s="497"/>
      <c r="B6" s="292" t="s">
        <v>324</v>
      </c>
      <c r="C6" s="293">
        <f>C7-C9</f>
        <v>0</v>
      </c>
      <c r="D6" s="293">
        <f>D7-D9</f>
        <v>0</v>
      </c>
      <c r="E6" s="498">
        <f>E7-E9</f>
        <v>0</v>
      </c>
    </row>
    <row r="7" spans="1:5" ht="16.5" customHeight="1">
      <c r="A7" s="499">
        <v>910000</v>
      </c>
      <c r="B7" s="294" t="s">
        <v>316</v>
      </c>
      <c r="C7" s="295">
        <f>SUM(C8)</f>
        <v>0</v>
      </c>
      <c r="D7" s="295">
        <f>SUM(D8)</f>
        <v>0</v>
      </c>
      <c r="E7" s="500">
        <f>SUM(E8)</f>
        <v>0</v>
      </c>
    </row>
    <row r="8" spans="1:5" ht="18" customHeight="1">
      <c r="A8" s="501">
        <v>911000</v>
      </c>
      <c r="B8" s="305" t="s">
        <v>317</v>
      </c>
      <c r="C8" s="296">
        <v>0</v>
      </c>
      <c r="D8" s="296">
        <v>0</v>
      </c>
      <c r="E8" s="502">
        <v>0</v>
      </c>
    </row>
    <row r="9" spans="1:5" ht="18" customHeight="1">
      <c r="A9" s="499">
        <v>610000</v>
      </c>
      <c r="B9" s="294" t="s">
        <v>318</v>
      </c>
      <c r="C9" s="295">
        <f>SUM(C10)</f>
        <v>0</v>
      </c>
      <c r="D9" s="295">
        <f>SUM(D10)</f>
        <v>0</v>
      </c>
      <c r="E9" s="500">
        <f>SUM(E10)</f>
        <v>0</v>
      </c>
    </row>
    <row r="10" spans="1:5" ht="17.25" customHeight="1">
      <c r="A10" s="501">
        <v>611000</v>
      </c>
      <c r="B10" s="305" t="s">
        <v>319</v>
      </c>
      <c r="C10" s="296">
        <v>0</v>
      </c>
      <c r="D10" s="296">
        <v>0</v>
      </c>
      <c r="E10" s="502">
        <v>0</v>
      </c>
    </row>
    <row r="11" spans="1:5" ht="15.75" customHeight="1">
      <c r="A11" s="501"/>
      <c r="B11" s="292" t="s">
        <v>351</v>
      </c>
      <c r="C11" s="293">
        <f>C12-C14</f>
        <v>-656500</v>
      </c>
      <c r="D11" s="293">
        <f>D12-D14</f>
        <v>-627425</v>
      </c>
      <c r="E11" s="498">
        <f>E12-E14</f>
        <v>118272.02000000048</v>
      </c>
    </row>
    <row r="12" spans="1:5" ht="18" customHeight="1">
      <c r="A12" s="499">
        <v>920000</v>
      </c>
      <c r="B12" s="294" t="s">
        <v>325</v>
      </c>
      <c r="C12" s="295">
        <f>C13</f>
        <v>0</v>
      </c>
      <c r="D12" s="295">
        <f>D13</f>
        <v>0</v>
      </c>
      <c r="E12" s="500">
        <f>E13</f>
        <v>7000000</v>
      </c>
    </row>
    <row r="13" spans="1:5" ht="17.25" customHeight="1">
      <c r="A13" s="501">
        <v>921200</v>
      </c>
      <c r="B13" s="299" t="s">
        <v>377</v>
      </c>
      <c r="C13" s="297">
        <v>0</v>
      </c>
      <c r="D13" s="297">
        <v>0</v>
      </c>
      <c r="E13" s="503">
        <v>7000000</v>
      </c>
    </row>
    <row r="14" spans="1:7" ht="17.25" customHeight="1">
      <c r="A14" s="499">
        <v>620000</v>
      </c>
      <c r="B14" s="294" t="s">
        <v>323</v>
      </c>
      <c r="C14" s="295">
        <f>SUM(C15:C17)</f>
        <v>656500</v>
      </c>
      <c r="D14" s="295">
        <f>SUM(D15:D17)</f>
        <v>627425</v>
      </c>
      <c r="E14" s="500">
        <f>SUM(E15:E17)</f>
        <v>6881727.9799999995</v>
      </c>
      <c r="G14" s="1"/>
    </row>
    <row r="15" spans="1:5" ht="16.5" customHeight="1">
      <c r="A15" s="504">
        <v>621300</v>
      </c>
      <c r="B15" s="125" t="s">
        <v>175</v>
      </c>
      <c r="C15" s="298">
        <f>SUMIF(Org!$C$10:$D$483,621300,Org!E$10:E$483)</f>
        <v>631500</v>
      </c>
      <c r="D15" s="298">
        <f>SUMIF(Org!$C$10:$D$483,621300,Org!F$10:F$483)</f>
        <v>627425</v>
      </c>
      <c r="E15" s="505">
        <f>SUMIF(Org!$C$10:$D$483,621300,Org!G$10:G$483)</f>
        <v>6768227.9799999995</v>
      </c>
    </row>
    <row r="16" spans="1:5" ht="24" customHeight="1">
      <c r="A16" s="504">
        <v>621400</v>
      </c>
      <c r="B16" s="125" t="s">
        <v>490</v>
      </c>
      <c r="C16" s="298">
        <f>SUMIF(Org!$C$10:$D$483,621400,Org!E$10:E$483)</f>
        <v>0</v>
      </c>
      <c r="D16" s="298">
        <f>SUMIF(Org!$C$10:$D$483,621400,Org!F$10:F$483)</f>
        <v>0</v>
      </c>
      <c r="E16" s="505">
        <f>SUMIF(Org!$C$10:$D$483,621400,Org!G$10:G$483)</f>
        <v>88500</v>
      </c>
    </row>
    <row r="17" spans="1:5" ht="15.75" customHeight="1">
      <c r="A17" s="504">
        <v>621900</v>
      </c>
      <c r="B17" s="125" t="s">
        <v>380</v>
      </c>
      <c r="C17" s="298">
        <f>SUMIF(Org!$C$10:$D$483,621900,Org!E$10:E$483)</f>
        <v>25000</v>
      </c>
      <c r="D17" s="298">
        <f>SUMIF(Org!$C$10:$D$483,621900,Org!F$10:F$483)</f>
        <v>0</v>
      </c>
      <c r="E17" s="505">
        <f>SUMIF(Org!$C$10:$D$483,621900,Org!G$10:G$483)</f>
        <v>25000</v>
      </c>
    </row>
    <row r="18" spans="1:5" ht="15.75" customHeight="1">
      <c r="A18" s="504"/>
      <c r="B18" s="292" t="s">
        <v>443</v>
      </c>
      <c r="C18" s="293">
        <f>C19-C25</f>
        <v>-516600</v>
      </c>
      <c r="D18" s="293">
        <f>D19-D25</f>
        <v>-552186.33</v>
      </c>
      <c r="E18" s="498">
        <f>E19-E25</f>
        <v>-3000</v>
      </c>
    </row>
    <row r="19" spans="1:5" ht="15.75" customHeight="1">
      <c r="A19" s="499">
        <v>930000</v>
      </c>
      <c r="B19" s="294" t="s">
        <v>444</v>
      </c>
      <c r="C19" s="295">
        <f>C20+C22</f>
        <v>64800</v>
      </c>
      <c r="D19" s="295">
        <f>D20+D22</f>
        <v>49000</v>
      </c>
      <c r="E19" s="500">
        <f>E20+E22</f>
        <v>78000</v>
      </c>
    </row>
    <row r="20" spans="1:5" ht="15.75" customHeight="1" hidden="1">
      <c r="A20" s="499">
        <v>931000</v>
      </c>
      <c r="B20" s="493" t="s">
        <v>425</v>
      </c>
      <c r="C20" s="494">
        <f>SUM(C21)</f>
        <v>0</v>
      </c>
      <c r="D20" s="494">
        <f>SUM(D21)</f>
        <v>0</v>
      </c>
      <c r="E20" s="506">
        <f>SUM(E21)</f>
        <v>0</v>
      </c>
    </row>
    <row r="21" spans="1:5" ht="15.75" customHeight="1" hidden="1">
      <c r="A21" s="208">
        <v>931100</v>
      </c>
      <c r="B21" s="373" t="s">
        <v>542</v>
      </c>
      <c r="C21" s="344">
        <v>0</v>
      </c>
      <c r="D21" s="344">
        <v>0</v>
      </c>
      <c r="E21" s="311">
        <v>0</v>
      </c>
    </row>
    <row r="22" spans="1:5" ht="25.5" customHeight="1">
      <c r="A22" s="507">
        <v>938000</v>
      </c>
      <c r="B22" s="376" t="s">
        <v>505</v>
      </c>
      <c r="C22" s="371">
        <f>SUM(C23:C24)</f>
        <v>64800</v>
      </c>
      <c r="D22" s="371">
        <f>SUM(D23:D24)</f>
        <v>49000</v>
      </c>
      <c r="E22" s="508">
        <f>SUM(E23:E24)</f>
        <v>78000</v>
      </c>
    </row>
    <row r="23" spans="1:7" ht="39.75" customHeight="1">
      <c r="A23" s="504">
        <v>938100</v>
      </c>
      <c r="B23" s="391" t="s">
        <v>506</v>
      </c>
      <c r="C23" s="297">
        <v>64800</v>
      </c>
      <c r="D23" s="297">
        <v>48000</v>
      </c>
      <c r="E23" s="503">
        <v>77000</v>
      </c>
      <c r="G23" s="1"/>
    </row>
    <row r="24" spans="1:7" ht="27" customHeight="1">
      <c r="A24" s="504">
        <v>938100</v>
      </c>
      <c r="B24" s="391" t="s">
        <v>510</v>
      </c>
      <c r="C24" s="297">
        <v>0</v>
      </c>
      <c r="D24" s="297">
        <v>1000</v>
      </c>
      <c r="E24" s="503">
        <f>Org!G485</f>
        <v>1000</v>
      </c>
      <c r="G24" s="1"/>
    </row>
    <row r="25" spans="1:5" ht="15.75" customHeight="1">
      <c r="A25" s="499">
        <v>630000</v>
      </c>
      <c r="B25" s="294" t="s">
        <v>445</v>
      </c>
      <c r="C25" s="295">
        <f>C26+C29</f>
        <v>581400</v>
      </c>
      <c r="D25" s="295">
        <f>D26+D29</f>
        <v>601186.33</v>
      </c>
      <c r="E25" s="500">
        <f>E26+E29</f>
        <v>81000</v>
      </c>
    </row>
    <row r="26" spans="1:8" ht="15.75" customHeight="1">
      <c r="A26" s="499">
        <v>631000</v>
      </c>
      <c r="B26" s="376" t="s">
        <v>427</v>
      </c>
      <c r="C26" s="371">
        <f>SUM(C27:C28)</f>
        <v>517000</v>
      </c>
      <c r="D26" s="371">
        <f>SUM(D27:D28)</f>
        <v>527000</v>
      </c>
      <c r="E26" s="508">
        <f>SUM(E27:E28)</f>
        <v>3000</v>
      </c>
      <c r="G26" s="1"/>
      <c r="H26" s="1"/>
    </row>
    <row r="27" spans="1:8" ht="15.75" customHeight="1">
      <c r="A27" s="208">
        <v>631900</v>
      </c>
      <c r="B27" s="373" t="s">
        <v>378</v>
      </c>
      <c r="C27" s="344">
        <f>Org!E483</f>
        <v>517000</v>
      </c>
      <c r="D27" s="344">
        <f>Org!F483</f>
        <v>517000</v>
      </c>
      <c r="E27" s="311">
        <f>Org!G483</f>
        <v>0</v>
      </c>
      <c r="G27" s="1"/>
      <c r="H27" s="1"/>
    </row>
    <row r="28" spans="1:5" ht="28.5" customHeight="1">
      <c r="A28" s="504">
        <v>631900</v>
      </c>
      <c r="B28" s="391" t="s">
        <v>509</v>
      </c>
      <c r="C28" s="389">
        <f>Org!E482</f>
        <v>0</v>
      </c>
      <c r="D28" s="389">
        <f>Org!F482</f>
        <v>10000</v>
      </c>
      <c r="E28" s="509">
        <f>Org!G482</f>
        <v>3000</v>
      </c>
    </row>
    <row r="29" spans="1:5" ht="26.25" customHeight="1">
      <c r="A29" s="507">
        <v>638000</v>
      </c>
      <c r="B29" s="375" t="s">
        <v>492</v>
      </c>
      <c r="C29" s="377">
        <f>SUM(C30:C31)</f>
        <v>64400</v>
      </c>
      <c r="D29" s="377">
        <f>SUM(D30:D31)</f>
        <v>74186.33</v>
      </c>
      <c r="E29" s="510">
        <f>SUM(E30:E31)</f>
        <v>78000</v>
      </c>
    </row>
    <row r="30" spans="1:7" ht="38.25">
      <c r="A30" s="504">
        <v>638100</v>
      </c>
      <c r="B30" s="391" t="s">
        <v>435</v>
      </c>
      <c r="C30" s="389">
        <f>SUMIF(Org!$C$10:$D$483,638100,Org!E$10:E$483)</f>
        <v>64400</v>
      </c>
      <c r="D30" s="389">
        <f>SUMIF(Org!$C$10:$D$483,638100,Org!F$10:F$483)</f>
        <v>72686.33</v>
      </c>
      <c r="E30" s="509">
        <f>SUMIF(Org!$C$10:$D$483,638100,Org!G$10:G$483)</f>
        <v>77000</v>
      </c>
      <c r="G30" s="390"/>
    </row>
    <row r="31" spans="1:5" ht="25.5">
      <c r="A31" s="504">
        <v>638100</v>
      </c>
      <c r="B31" s="334" t="s">
        <v>507</v>
      </c>
      <c r="C31" s="297">
        <f>Org!E485</f>
        <v>0</v>
      </c>
      <c r="D31" s="297">
        <f>Org!F485</f>
        <v>1500</v>
      </c>
      <c r="E31" s="503">
        <f>Org!G485</f>
        <v>1000</v>
      </c>
    </row>
    <row r="32" spans="1:8" ht="28.5" customHeight="1">
      <c r="A32" s="499"/>
      <c r="B32" s="292" t="s">
        <v>447</v>
      </c>
      <c r="C32" s="293">
        <f>SUM(C33:C36)</f>
        <v>120000</v>
      </c>
      <c r="D32" s="293">
        <f>SUM(D33:D36)</f>
        <v>0</v>
      </c>
      <c r="E32" s="498">
        <f>SUM(E33:E36)</f>
        <v>412000</v>
      </c>
      <c r="H32" s="1"/>
    </row>
    <row r="33" spans="1:5" ht="0.75" customHeight="1" hidden="1">
      <c r="A33" s="511" t="s">
        <v>376</v>
      </c>
      <c r="B33" s="300" t="s">
        <v>391</v>
      </c>
      <c r="C33" s="298">
        <v>0</v>
      </c>
      <c r="D33" s="298">
        <v>0</v>
      </c>
      <c r="E33" s="505">
        <v>0</v>
      </c>
    </row>
    <row r="34" spans="1:5" ht="38.25" customHeight="1">
      <c r="A34" s="512" t="s">
        <v>376</v>
      </c>
      <c r="B34" s="125" t="s">
        <v>544</v>
      </c>
      <c r="C34" s="298">
        <v>0</v>
      </c>
      <c r="D34" s="298">
        <v>0</v>
      </c>
      <c r="E34" s="505">
        <v>190000</v>
      </c>
    </row>
    <row r="35" spans="1:5" ht="25.5">
      <c r="A35" s="512" t="s">
        <v>376</v>
      </c>
      <c r="B35" s="125" t="s">
        <v>400</v>
      </c>
      <c r="C35" s="298">
        <v>50000</v>
      </c>
      <c r="D35" s="298">
        <v>0</v>
      </c>
      <c r="E35" s="505">
        <v>152000</v>
      </c>
    </row>
    <row r="36" spans="1:5" ht="29.25" customHeight="1">
      <c r="A36" s="512" t="s">
        <v>376</v>
      </c>
      <c r="B36" s="125" t="s">
        <v>401</v>
      </c>
      <c r="C36" s="298">
        <v>70000</v>
      </c>
      <c r="D36" s="298">
        <v>0</v>
      </c>
      <c r="E36" s="505">
        <v>70000</v>
      </c>
    </row>
    <row r="37" spans="1:7" s="5" customFormat="1" ht="21" customHeight="1" thickBot="1">
      <c r="A37" s="513"/>
      <c r="B37" s="514" t="s">
        <v>446</v>
      </c>
      <c r="C37" s="515">
        <f>C6+C11+C18+C32</f>
        <v>-1053100</v>
      </c>
      <c r="D37" s="515">
        <f>D6+D11+D18+D32</f>
        <v>-1179611.33</v>
      </c>
      <c r="E37" s="516">
        <f>E6+E11+E18+E32</f>
        <v>527272.0200000005</v>
      </c>
      <c r="G37" s="388"/>
    </row>
    <row r="38" spans="1:2" ht="18" customHeight="1" thickTop="1">
      <c r="A38" s="149"/>
      <c r="B38" s="147"/>
    </row>
    <row r="39" spans="1:5" ht="18" customHeight="1">
      <c r="A39" s="3"/>
      <c r="B39" s="147"/>
      <c r="E39" s="1"/>
    </row>
    <row r="40" spans="1:5" ht="14.25" customHeight="1">
      <c r="A40" s="3"/>
      <c r="B40" s="147"/>
      <c r="C40" s="1"/>
      <c r="D40" s="1"/>
      <c r="E40" s="1"/>
    </row>
    <row r="41" spans="1:5" ht="16.5" customHeight="1">
      <c r="A41" s="3"/>
      <c r="E41" s="1"/>
    </row>
    <row r="42" ht="16.5" customHeight="1">
      <c r="A42" s="4"/>
    </row>
    <row r="43" spans="1:2" ht="15.75" customHeight="1">
      <c r="A43" s="150"/>
      <c r="B43" s="150"/>
    </row>
    <row r="44" spans="1:2" ht="12.75">
      <c r="A44" s="150"/>
      <c r="B44" s="150"/>
    </row>
    <row r="45" spans="1:2" ht="17.25" customHeight="1">
      <c r="A45" s="150"/>
      <c r="B45" s="150"/>
    </row>
    <row r="46" spans="1:2" ht="12.75">
      <c r="A46" s="150"/>
      <c r="B46" s="150"/>
    </row>
    <row r="47" spans="1:2" ht="12.75">
      <c r="A47" s="150"/>
      <c r="B47" s="150"/>
    </row>
    <row r="48" spans="1:2" ht="12.75">
      <c r="A48" s="150"/>
      <c r="B48" s="150"/>
    </row>
    <row r="49" spans="1:2" ht="23.25" customHeight="1">
      <c r="A49" s="150"/>
      <c r="B49" s="150"/>
    </row>
    <row r="50" spans="1:2" ht="16.5" customHeight="1">
      <c r="A50" s="150"/>
      <c r="B50" s="150"/>
    </row>
    <row r="51" spans="1:2" ht="12.75">
      <c r="A51" s="150"/>
      <c r="B51" s="150"/>
    </row>
    <row r="52" spans="1:2" ht="12.75">
      <c r="A52" s="150"/>
      <c r="B52" s="150"/>
    </row>
    <row r="53" spans="1:2" ht="15" customHeight="1">
      <c r="A53" s="150"/>
      <c r="B53" s="150"/>
    </row>
    <row r="54" spans="1:2" ht="12.75">
      <c r="A54" s="150"/>
      <c r="B54" s="150"/>
    </row>
    <row r="55" spans="1:2" ht="26.25" customHeight="1">
      <c r="A55" s="150"/>
      <c r="B55" s="150"/>
    </row>
    <row r="56" spans="1:2" ht="12.75">
      <c r="A56" s="150"/>
      <c r="B56" s="150"/>
    </row>
    <row r="57" spans="1:2" ht="12.75">
      <c r="A57" s="150"/>
      <c r="B57" s="150"/>
    </row>
    <row r="58" spans="1:2" ht="12.75">
      <c r="A58" s="150"/>
      <c r="B58" s="150"/>
    </row>
    <row r="59" spans="1:2" ht="12.75">
      <c r="A59" s="150"/>
      <c r="B59" s="150"/>
    </row>
    <row r="60" spans="1:2" ht="12.75">
      <c r="A60" s="150"/>
      <c r="B60" s="150"/>
    </row>
    <row r="61" spans="1:2" ht="12.75">
      <c r="A61" s="150"/>
      <c r="B61" s="150"/>
    </row>
    <row r="62" spans="1:2" ht="15.75" customHeight="1">
      <c r="A62" s="150"/>
      <c r="B62" s="150"/>
    </row>
    <row r="63" spans="1:2" ht="12.75">
      <c r="A63" s="150"/>
      <c r="B63" s="150"/>
    </row>
    <row r="64" spans="1:2" ht="12.75">
      <c r="A64" s="150"/>
      <c r="B64" s="150"/>
    </row>
    <row r="65" spans="1:2" ht="12.75">
      <c r="A65" s="150"/>
      <c r="B65" s="150"/>
    </row>
    <row r="66" spans="1:2" ht="12.75" customHeight="1">
      <c r="A66" s="150"/>
      <c r="B66" s="150"/>
    </row>
    <row r="67" spans="1:2" ht="12.75">
      <c r="A67" s="150"/>
      <c r="B67" s="150"/>
    </row>
    <row r="68" spans="1:2" s="148" customFormat="1" ht="11.25">
      <c r="A68" s="150"/>
      <c r="B68" s="150"/>
    </row>
    <row r="69" spans="1:2" s="148" customFormat="1" ht="11.25">
      <c r="A69" s="150"/>
      <c r="B69" s="150"/>
    </row>
    <row r="70" spans="1:2" s="148" customFormat="1" ht="11.25">
      <c r="A70" s="150"/>
      <c r="B70" s="150"/>
    </row>
    <row r="71" spans="1:2" s="148" customFormat="1" ht="11.25">
      <c r="A71" s="150"/>
      <c r="B71" s="150"/>
    </row>
    <row r="72" spans="1:2" s="148" customFormat="1" ht="11.25">
      <c r="A72" s="150"/>
      <c r="B72" s="150"/>
    </row>
    <row r="73" spans="1:2" s="148" customFormat="1" ht="11.25">
      <c r="A73" s="150"/>
      <c r="B73" s="150"/>
    </row>
    <row r="74" spans="1:2" s="148" customFormat="1" ht="11.25">
      <c r="A74" s="150"/>
      <c r="B74" s="150"/>
    </row>
    <row r="75" spans="1:2" s="148" customFormat="1" ht="11.25">
      <c r="A75" s="150"/>
      <c r="B75" s="150"/>
    </row>
    <row r="76" spans="1:2" s="148" customFormat="1" ht="11.25">
      <c r="A76" s="150"/>
      <c r="B76" s="150"/>
    </row>
    <row r="77" spans="1:2" s="148" customFormat="1" ht="11.25">
      <c r="A77" s="150"/>
      <c r="B77" s="150"/>
    </row>
    <row r="78" spans="1:2" s="148" customFormat="1" ht="11.25">
      <c r="A78" s="150"/>
      <c r="B78" s="150"/>
    </row>
    <row r="79" spans="1:2" s="148" customFormat="1" ht="11.25">
      <c r="A79" s="150"/>
      <c r="B79" s="150"/>
    </row>
    <row r="80" spans="1:2" s="148" customFormat="1" ht="11.25">
      <c r="A80" s="150"/>
      <c r="B80" s="150"/>
    </row>
    <row r="81" spans="1:2" s="148" customFormat="1" ht="11.25">
      <c r="A81" s="150"/>
      <c r="B81" s="150"/>
    </row>
    <row r="82" spans="1:2" s="148" customFormat="1" ht="11.25">
      <c r="A82" s="150"/>
      <c r="B82" s="150"/>
    </row>
    <row r="83" spans="1:2" s="148" customFormat="1" ht="11.25">
      <c r="A83" s="150"/>
      <c r="B83" s="150"/>
    </row>
    <row r="84" spans="1:2" s="148" customFormat="1" ht="11.25">
      <c r="A84" s="150"/>
      <c r="B84" s="150"/>
    </row>
    <row r="85" spans="1:2" s="148" customFormat="1" ht="11.25">
      <c r="A85" s="150"/>
      <c r="B85" s="150"/>
    </row>
    <row r="86" spans="1:2" s="148" customFormat="1" ht="11.25">
      <c r="A86" s="150"/>
      <c r="B86" s="150"/>
    </row>
    <row r="87" spans="1:2" s="148" customFormat="1" ht="11.25">
      <c r="A87" s="150"/>
      <c r="B87" s="150"/>
    </row>
    <row r="88" spans="1:2" s="148" customFormat="1" ht="11.25">
      <c r="A88" s="150"/>
      <c r="B88" s="150"/>
    </row>
    <row r="89" spans="1:2" s="148" customFormat="1" ht="11.25">
      <c r="A89" s="150"/>
      <c r="B89" s="150"/>
    </row>
    <row r="90" spans="1:2" s="148" customFormat="1" ht="11.25">
      <c r="A90" s="150"/>
      <c r="B90" s="150"/>
    </row>
    <row r="91" spans="1:2" s="148" customFormat="1" ht="11.25">
      <c r="A91" s="150"/>
      <c r="B91" s="150"/>
    </row>
    <row r="92" spans="1:2" s="148" customFormat="1" ht="11.25">
      <c r="A92" s="150"/>
      <c r="B92" s="150"/>
    </row>
    <row r="93" spans="1:2" s="148" customFormat="1" ht="11.25">
      <c r="A93" s="150"/>
      <c r="B93" s="150"/>
    </row>
    <row r="94" spans="1:2" s="148" customFormat="1" ht="11.25">
      <c r="A94" s="150"/>
      <c r="B94" s="150"/>
    </row>
    <row r="95" spans="1:2" s="148" customFormat="1" ht="11.25">
      <c r="A95" s="150"/>
      <c r="B95" s="150"/>
    </row>
    <row r="96" spans="1:2" s="148" customFormat="1" ht="11.25">
      <c r="A96" s="150"/>
      <c r="B96" s="150"/>
    </row>
    <row r="97" spans="1:2" s="148" customFormat="1" ht="11.25">
      <c r="A97" s="150"/>
      <c r="B97" s="150"/>
    </row>
    <row r="98" spans="1:2" s="148" customFormat="1" ht="11.25">
      <c r="A98" s="150"/>
      <c r="B98" s="150"/>
    </row>
    <row r="99" spans="1:2" s="148" customFormat="1" ht="11.25">
      <c r="A99" s="150"/>
      <c r="B99" s="150"/>
    </row>
    <row r="100" spans="1:2" ht="12.75">
      <c r="A100" s="150"/>
      <c r="B100" s="150"/>
    </row>
    <row r="101" spans="1:2" ht="12.75">
      <c r="A101" s="150"/>
      <c r="B101" s="150"/>
    </row>
    <row r="102" spans="1:2" ht="12.75">
      <c r="A102" s="150"/>
      <c r="B102" s="150"/>
    </row>
    <row r="103" spans="1:2" ht="12.75">
      <c r="A103" s="150"/>
      <c r="B103" s="150"/>
    </row>
    <row r="104" spans="1:2" ht="12.75">
      <c r="A104" s="150"/>
      <c r="B104" s="150"/>
    </row>
    <row r="105" spans="1:2" ht="12.75">
      <c r="A105" s="150"/>
      <c r="B105" s="150"/>
    </row>
    <row r="106" spans="1:2" ht="12.75">
      <c r="A106" s="150"/>
      <c r="B106" s="150"/>
    </row>
    <row r="107" spans="1:2" ht="12.75">
      <c r="A107" s="150"/>
      <c r="B107" s="150"/>
    </row>
    <row r="108" spans="1:2" ht="12.75">
      <c r="A108" s="150"/>
      <c r="B108" s="150"/>
    </row>
    <row r="109" spans="1:2" ht="12.75">
      <c r="A109" s="150"/>
      <c r="B109" s="150"/>
    </row>
    <row r="110" spans="1:2" ht="12.75">
      <c r="A110" s="150"/>
      <c r="B110" s="150"/>
    </row>
    <row r="111" spans="1:2" ht="12.75">
      <c r="A111" s="150"/>
      <c r="B111" s="3"/>
    </row>
    <row r="112" spans="1:2" ht="12.75">
      <c r="A112" s="4"/>
      <c r="B112" s="3"/>
    </row>
    <row r="113" spans="1:2" ht="12.75">
      <c r="A113" s="4"/>
      <c r="B113" s="3"/>
    </row>
    <row r="114" spans="1:2" ht="12.75">
      <c r="A114" s="4"/>
      <c r="B114" s="3"/>
    </row>
    <row r="115" spans="1:2" ht="12.75">
      <c r="A115" s="4"/>
      <c r="B115" s="3"/>
    </row>
    <row r="116" spans="1:2" ht="12.75">
      <c r="A116" s="4"/>
      <c r="B116" s="3"/>
    </row>
    <row r="117" spans="1:2" ht="12.75">
      <c r="A117" s="4"/>
      <c r="B117" s="3"/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s="148" customFormat="1" ht="12.75">
      <c r="A123" s="4"/>
      <c r="B123" s="3"/>
    </row>
    <row r="124" spans="1:2" s="148" customFormat="1" ht="12.75">
      <c r="A124" s="4"/>
      <c r="B124" s="3"/>
    </row>
    <row r="125" spans="1:2" s="148" customFormat="1" ht="12.75">
      <c r="A125" s="4"/>
      <c r="B125" s="3"/>
    </row>
    <row r="126" spans="1:2" s="148" customFormat="1" ht="12.75">
      <c r="A126" s="4"/>
      <c r="B126" s="3"/>
    </row>
    <row r="127" spans="1:2" s="148" customFormat="1" ht="12.75">
      <c r="A127" s="4"/>
      <c r="B127" s="3"/>
    </row>
    <row r="128" spans="1:2" s="148" customFormat="1" ht="12.75">
      <c r="A128" s="4"/>
      <c r="B128" s="3"/>
    </row>
    <row r="129" spans="1:2" s="148" customFormat="1" ht="12.75">
      <c r="A129" s="4"/>
      <c r="B129" s="3"/>
    </row>
    <row r="130" spans="1:2" s="148" customFormat="1" ht="12.75">
      <c r="A130" s="4"/>
      <c r="B130" s="3"/>
    </row>
    <row r="131" spans="1:2" s="148" customFormat="1" ht="12.75">
      <c r="A131" s="4"/>
      <c r="B131" s="3"/>
    </row>
    <row r="132" spans="1:2" s="148" customFormat="1" ht="12.75">
      <c r="A132" s="4"/>
      <c r="B132" s="3"/>
    </row>
    <row r="133" spans="1:2" s="148" customFormat="1" ht="12.75">
      <c r="A133" s="4"/>
      <c r="B133" s="3"/>
    </row>
    <row r="134" spans="1:2" s="148" customFormat="1" ht="12.75">
      <c r="A134" s="4"/>
      <c r="B134" s="3"/>
    </row>
    <row r="135" spans="1:2" s="148" customFormat="1" ht="12.75">
      <c r="A135" s="4"/>
      <c r="B135" s="3"/>
    </row>
    <row r="136" spans="1:2" s="148" customFormat="1" ht="12.75">
      <c r="A136" s="4"/>
      <c r="B136" s="3"/>
    </row>
    <row r="137" spans="1:2" s="148" customFormat="1" ht="12.75">
      <c r="A137" s="4"/>
      <c r="B137"/>
    </row>
  </sheetData>
  <sheetProtection/>
  <mergeCells count="6">
    <mergeCell ref="A1:E1"/>
    <mergeCell ref="E2:E3"/>
    <mergeCell ref="C2:C3"/>
    <mergeCell ref="D2:D3"/>
    <mergeCell ref="A2:A3"/>
    <mergeCell ref="B2:B3"/>
  </mergeCells>
  <printOptions horizontalCentered="1"/>
  <pageMargins left="0.16" right="0.17" top="0.45" bottom="0.47" header="0.275590551181102" footer="0.25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G596"/>
  <sheetViews>
    <sheetView zoomScaleSheetLayoutView="75"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97" sqref="G497"/>
    </sheetView>
  </sheetViews>
  <sheetFormatPr defaultColWidth="9.140625" defaultRowHeight="12.75"/>
  <cols>
    <col min="1" max="1" width="6.8515625" style="7" customWidth="1"/>
    <col min="2" max="2" width="9.140625" style="6" customWidth="1"/>
    <col min="3" max="3" width="8.28125" style="6" customWidth="1"/>
    <col min="4" max="4" width="54.57421875" style="6" customWidth="1"/>
    <col min="5" max="5" width="14.8515625" style="58" customWidth="1"/>
    <col min="6" max="6" width="13.57421875" style="58" customWidth="1"/>
    <col min="7" max="7" width="14.28125" style="58" customWidth="1"/>
    <col min="8" max="8" width="6.7109375" style="58" hidden="1" customWidth="1"/>
    <col min="9" max="9" width="9.00390625" style="11" customWidth="1"/>
    <col min="10" max="10" width="8.57421875" style="53" customWidth="1"/>
    <col min="11" max="11" width="13.57421875" style="456" customWidth="1"/>
    <col min="12" max="12" width="13.140625" style="466" customWidth="1"/>
    <col min="13" max="16384" width="9.140625" style="6" customWidth="1"/>
  </cols>
  <sheetData>
    <row r="1" spans="1:10" ht="40.5" customHeight="1" thickBot="1">
      <c r="A1" s="613" t="s">
        <v>480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4.75" customHeight="1" thickTop="1">
      <c r="A2" s="614" t="s">
        <v>234</v>
      </c>
      <c r="B2" s="564" t="s">
        <v>5</v>
      </c>
      <c r="C2" s="564"/>
      <c r="D2" s="564" t="s">
        <v>236</v>
      </c>
      <c r="E2" s="582" t="s">
        <v>545</v>
      </c>
      <c r="F2" s="582" t="s">
        <v>527</v>
      </c>
      <c r="G2" s="582" t="s">
        <v>528</v>
      </c>
      <c r="H2" s="617" t="s">
        <v>120</v>
      </c>
      <c r="I2" s="582" t="s">
        <v>120</v>
      </c>
      <c r="J2" s="615" t="s">
        <v>121</v>
      </c>
    </row>
    <row r="3" spans="1:12" s="62" customFormat="1" ht="43.5" customHeight="1">
      <c r="A3" s="575"/>
      <c r="B3" s="109" t="s">
        <v>235</v>
      </c>
      <c r="C3" s="109" t="s">
        <v>27</v>
      </c>
      <c r="D3" s="562"/>
      <c r="E3" s="583"/>
      <c r="F3" s="583"/>
      <c r="G3" s="583"/>
      <c r="H3" s="618"/>
      <c r="I3" s="583"/>
      <c r="J3" s="616"/>
      <c r="K3" s="457"/>
      <c r="L3" s="467"/>
    </row>
    <row r="4" spans="1:10" ht="9.75" customHeight="1">
      <c r="A4" s="110">
        <v>1</v>
      </c>
      <c r="B4" s="111">
        <v>2</v>
      </c>
      <c r="C4" s="111">
        <v>3</v>
      </c>
      <c r="D4" s="111">
        <v>4</v>
      </c>
      <c r="E4" s="426">
        <v>5</v>
      </c>
      <c r="F4" s="426">
        <v>6</v>
      </c>
      <c r="G4" s="426">
        <v>7</v>
      </c>
      <c r="H4" s="426" t="s">
        <v>465</v>
      </c>
      <c r="I4" s="427" t="s">
        <v>504</v>
      </c>
      <c r="J4" s="434">
        <v>9</v>
      </c>
    </row>
    <row r="5" spans="1:10" ht="9.75" customHeight="1">
      <c r="A5" s="578"/>
      <c r="B5" s="579"/>
      <c r="C5" s="584" t="s">
        <v>246</v>
      </c>
      <c r="D5" s="612"/>
      <c r="E5" s="428"/>
      <c r="F5" s="174"/>
      <c r="G5" s="174"/>
      <c r="H5" s="174"/>
      <c r="I5" s="174"/>
      <c r="J5" s="435"/>
    </row>
    <row r="6" spans="1:10" ht="9.75" customHeight="1">
      <c r="A6" s="578"/>
      <c r="B6" s="579"/>
      <c r="C6" s="584"/>
      <c r="D6" s="612"/>
      <c r="E6" s="429"/>
      <c r="F6" s="175"/>
      <c r="G6" s="175"/>
      <c r="H6" s="175"/>
      <c r="I6" s="175"/>
      <c r="J6" s="436"/>
    </row>
    <row r="7" spans="1:12" ht="19.5" customHeight="1">
      <c r="A7" s="578"/>
      <c r="B7" s="579"/>
      <c r="C7" s="584"/>
      <c r="D7" s="612"/>
      <c r="E7" s="430"/>
      <c r="F7" s="176"/>
      <c r="G7" s="176"/>
      <c r="H7" s="176"/>
      <c r="I7" s="176"/>
      <c r="J7" s="437"/>
      <c r="L7" s="468"/>
    </row>
    <row r="8" spans="1:12" ht="15" customHeight="1">
      <c r="A8" s="141"/>
      <c r="B8" s="25">
        <v>411000</v>
      </c>
      <c r="C8" s="19"/>
      <c r="D8" s="34" t="s">
        <v>143</v>
      </c>
      <c r="E8" s="406">
        <f>SUM(E9)</f>
        <v>800</v>
      </c>
      <c r="F8" s="406">
        <f>SUM(F9)</f>
        <v>3060</v>
      </c>
      <c r="G8" s="406">
        <f>SUM(G9)</f>
        <v>1000</v>
      </c>
      <c r="H8" s="415">
        <f>G8/F8*100</f>
        <v>32.6797385620915</v>
      </c>
      <c r="I8" s="407">
        <f>IF(E8&gt;0,G8/E8*100,0)</f>
        <v>125</v>
      </c>
      <c r="J8" s="408">
        <f aca="true" t="shared" si="0" ref="J8:J20">G8/$G$491*100</f>
        <v>0.004728803139925285</v>
      </c>
      <c r="L8" s="468"/>
    </row>
    <row r="9" spans="1:12" ht="13.5" customHeight="1">
      <c r="A9" s="141" t="s">
        <v>28</v>
      </c>
      <c r="B9" s="283"/>
      <c r="C9" s="286">
        <v>411200</v>
      </c>
      <c r="D9" s="46" t="s">
        <v>451</v>
      </c>
      <c r="E9" s="284">
        <v>800</v>
      </c>
      <c r="F9" s="284">
        <v>3060</v>
      </c>
      <c r="G9" s="285">
        <v>1000</v>
      </c>
      <c r="H9" s="218">
        <f aca="true" t="shared" si="1" ref="H9:H20">G9/F9*100</f>
        <v>32.6797385620915</v>
      </c>
      <c r="I9" s="349">
        <f aca="true" t="shared" si="2" ref="I9:I20">IF(E9&gt;0,G9/E9*100,0)</f>
        <v>125</v>
      </c>
      <c r="J9" s="315">
        <f t="shared" si="0"/>
        <v>0.004728803139925285</v>
      </c>
      <c r="L9" s="468"/>
    </row>
    <row r="10" spans="1:12" ht="14.25" customHeight="1">
      <c r="A10" s="141"/>
      <c r="B10" s="25">
        <v>412000</v>
      </c>
      <c r="C10" s="19"/>
      <c r="D10" s="34" t="s">
        <v>145</v>
      </c>
      <c r="E10" s="67">
        <f>SUM(E11:E15)</f>
        <v>254000</v>
      </c>
      <c r="F10" s="67">
        <f>SUM(F11:F15)</f>
        <v>245543.09</v>
      </c>
      <c r="G10" s="67">
        <f>SUM(G11:G15)</f>
        <v>285000</v>
      </c>
      <c r="H10" s="193">
        <f t="shared" si="1"/>
        <v>116.06924063715253</v>
      </c>
      <c r="I10" s="192">
        <f t="shared" si="2"/>
        <v>112.20472440944881</v>
      </c>
      <c r="J10" s="346">
        <f t="shared" si="0"/>
        <v>1.3477088948787064</v>
      </c>
      <c r="L10" s="468"/>
    </row>
    <row r="11" spans="1:13" ht="12.75" customHeight="1">
      <c r="A11" s="141" t="s">
        <v>28</v>
      </c>
      <c r="B11" s="27"/>
      <c r="C11" s="19">
        <v>412900</v>
      </c>
      <c r="D11" s="32" t="s">
        <v>0</v>
      </c>
      <c r="E11" s="204">
        <v>9500</v>
      </c>
      <c r="F11" s="204">
        <v>9200</v>
      </c>
      <c r="G11" s="204">
        <v>9500</v>
      </c>
      <c r="H11" s="218">
        <f t="shared" si="1"/>
        <v>103.26086956521738</v>
      </c>
      <c r="I11" s="349">
        <f t="shared" si="2"/>
        <v>100</v>
      </c>
      <c r="J11" s="315">
        <f t="shared" si="0"/>
        <v>0.04492362982929021</v>
      </c>
      <c r="M11" s="16"/>
    </row>
    <row r="12" spans="1:13" ht="12.75" customHeight="1">
      <c r="A12" s="141" t="s">
        <v>28</v>
      </c>
      <c r="B12" s="27"/>
      <c r="C12" s="19">
        <v>412900</v>
      </c>
      <c r="D12" s="32" t="s">
        <v>237</v>
      </c>
      <c r="E12" s="204">
        <v>5500</v>
      </c>
      <c r="F12" s="204">
        <v>4800</v>
      </c>
      <c r="G12" s="189">
        <v>4500</v>
      </c>
      <c r="H12" s="218">
        <f t="shared" si="1"/>
        <v>93.75</v>
      </c>
      <c r="I12" s="349">
        <f t="shared" si="2"/>
        <v>81.81818181818183</v>
      </c>
      <c r="J12" s="315">
        <f t="shared" si="0"/>
        <v>0.021279614129663782</v>
      </c>
      <c r="M12" s="16"/>
    </row>
    <row r="13" spans="1:13" ht="12.75" customHeight="1">
      <c r="A13" s="42" t="s">
        <v>28</v>
      </c>
      <c r="B13" s="27"/>
      <c r="C13" s="40">
        <v>412900</v>
      </c>
      <c r="D13" s="36" t="s">
        <v>102</v>
      </c>
      <c r="E13" s="204">
        <v>220000</v>
      </c>
      <c r="F13" s="204">
        <v>215603.09</v>
      </c>
      <c r="G13" s="204">
        <v>210000</v>
      </c>
      <c r="H13" s="218">
        <f t="shared" si="1"/>
        <v>97.4012014391816</v>
      </c>
      <c r="I13" s="349">
        <f t="shared" si="2"/>
        <v>95.45454545454545</v>
      </c>
      <c r="J13" s="315">
        <f t="shared" si="0"/>
        <v>0.9930486593843099</v>
      </c>
      <c r="M13" s="16"/>
    </row>
    <row r="14" spans="1:13" ht="12.75" customHeight="1">
      <c r="A14" s="42" t="s">
        <v>28</v>
      </c>
      <c r="B14" s="27"/>
      <c r="C14" s="40">
        <v>412900</v>
      </c>
      <c r="D14" s="36" t="s">
        <v>209</v>
      </c>
      <c r="E14" s="204">
        <v>4000</v>
      </c>
      <c r="F14" s="204">
        <v>3940</v>
      </c>
      <c r="G14" s="204">
        <v>4000</v>
      </c>
      <c r="H14" s="218">
        <f t="shared" si="1"/>
        <v>101.5228426395939</v>
      </c>
      <c r="I14" s="349">
        <f t="shared" si="2"/>
        <v>100</v>
      </c>
      <c r="J14" s="315">
        <f t="shared" si="0"/>
        <v>0.01891521255970114</v>
      </c>
      <c r="M14" s="16"/>
    </row>
    <row r="15" spans="1:13" ht="12.75" customHeight="1">
      <c r="A15" s="42" t="s">
        <v>30</v>
      </c>
      <c r="B15" s="27"/>
      <c r="C15" s="40">
        <v>412900</v>
      </c>
      <c r="D15" s="36" t="s">
        <v>245</v>
      </c>
      <c r="E15" s="204">
        <v>15000</v>
      </c>
      <c r="F15" s="204">
        <v>12000</v>
      </c>
      <c r="G15" s="204">
        <v>57000</v>
      </c>
      <c r="H15" s="218">
        <f t="shared" si="1"/>
        <v>475</v>
      </c>
      <c r="I15" s="349">
        <f t="shared" si="2"/>
        <v>380</v>
      </c>
      <c r="J15" s="315">
        <f t="shared" si="0"/>
        <v>0.2695417789757413</v>
      </c>
      <c r="M15" s="16"/>
    </row>
    <row r="16" spans="1:13" ht="12.75" customHeight="1" hidden="1">
      <c r="A16" s="42" t="s">
        <v>28</v>
      </c>
      <c r="B16" s="27"/>
      <c r="C16" s="40">
        <v>412900</v>
      </c>
      <c r="D16" s="36" t="s">
        <v>154</v>
      </c>
      <c r="E16" s="204">
        <v>0</v>
      </c>
      <c r="F16" s="204"/>
      <c r="G16" s="204"/>
      <c r="H16" s="193" t="e">
        <f t="shared" si="1"/>
        <v>#DIV/0!</v>
      </c>
      <c r="I16" s="192">
        <f t="shared" si="2"/>
        <v>0</v>
      </c>
      <c r="J16" s="346">
        <f t="shared" si="0"/>
        <v>0</v>
      </c>
      <c r="M16" s="16"/>
    </row>
    <row r="17" spans="1:13" ht="14.25" customHeight="1">
      <c r="A17" s="141"/>
      <c r="B17" s="25">
        <v>415000</v>
      </c>
      <c r="C17" s="19"/>
      <c r="D17" s="37" t="s">
        <v>159</v>
      </c>
      <c r="E17" s="67">
        <f>SUM(E18:E19)</f>
        <v>28000</v>
      </c>
      <c r="F17" s="67">
        <f>SUM(F18:F19)</f>
        <v>25200</v>
      </c>
      <c r="G17" s="67">
        <f>SUM(G18:G19)</f>
        <v>35000</v>
      </c>
      <c r="H17" s="193">
        <f t="shared" si="1"/>
        <v>138.88888888888889</v>
      </c>
      <c r="I17" s="192">
        <f t="shared" si="2"/>
        <v>125</v>
      </c>
      <c r="J17" s="346">
        <f t="shared" si="0"/>
        <v>0.165508109897385</v>
      </c>
      <c r="M17" s="16"/>
    </row>
    <row r="18" spans="1:13" ht="12.75" customHeight="1">
      <c r="A18" s="141" t="s">
        <v>30</v>
      </c>
      <c r="B18" s="27"/>
      <c r="C18" s="19">
        <v>415200</v>
      </c>
      <c r="D18" s="32" t="s">
        <v>244</v>
      </c>
      <c r="E18" s="204">
        <v>28000</v>
      </c>
      <c r="F18" s="204">
        <v>25200</v>
      </c>
      <c r="G18" s="204">
        <v>28000</v>
      </c>
      <c r="H18" s="218">
        <f t="shared" si="1"/>
        <v>111.11111111111111</v>
      </c>
      <c r="I18" s="349">
        <f t="shared" si="2"/>
        <v>100</v>
      </c>
      <c r="J18" s="315">
        <f t="shared" si="0"/>
        <v>0.132406487917908</v>
      </c>
      <c r="M18" s="16"/>
    </row>
    <row r="19" spans="1:13" ht="24.75" customHeight="1">
      <c r="A19" s="141" t="s">
        <v>30</v>
      </c>
      <c r="B19" s="27"/>
      <c r="C19" s="19">
        <v>415200</v>
      </c>
      <c r="D19" s="32" t="s">
        <v>468</v>
      </c>
      <c r="E19" s="204">
        <v>0</v>
      </c>
      <c r="F19" s="204">
        <v>0</v>
      </c>
      <c r="G19" s="204">
        <v>7000</v>
      </c>
      <c r="H19" s="218" t="e">
        <f t="shared" si="1"/>
        <v>#DIV/0!</v>
      </c>
      <c r="I19" s="349">
        <f t="shared" si="2"/>
        <v>0</v>
      </c>
      <c r="J19" s="315">
        <f t="shared" si="0"/>
        <v>0.033101621979477</v>
      </c>
      <c r="M19" s="16"/>
    </row>
    <row r="20" spans="1:13" ht="30" customHeight="1">
      <c r="A20" s="578"/>
      <c r="B20" s="579"/>
      <c r="C20" s="590" t="s">
        <v>85</v>
      </c>
      <c r="D20" s="590"/>
      <c r="E20" s="392">
        <f>E8+E10+E17</f>
        <v>282800</v>
      </c>
      <c r="F20" s="392">
        <f>F8+F10+F17</f>
        <v>273803.08999999997</v>
      </c>
      <c r="G20" s="392">
        <f>G8+G10+G17</f>
        <v>321000</v>
      </c>
      <c r="H20" s="393">
        <f t="shared" si="1"/>
        <v>117.23753738498716</v>
      </c>
      <c r="I20" s="394">
        <f t="shared" si="2"/>
        <v>113.50777934936352</v>
      </c>
      <c r="J20" s="405">
        <f t="shared" si="0"/>
        <v>1.5179458079160164</v>
      </c>
      <c r="M20" s="16"/>
    </row>
    <row r="21" spans="1:13" ht="9.75" customHeight="1">
      <c r="A21" s="578"/>
      <c r="B21" s="579"/>
      <c r="C21" s="584" t="s">
        <v>247</v>
      </c>
      <c r="D21" s="612"/>
      <c r="E21" s="410"/>
      <c r="F21" s="177"/>
      <c r="G21" s="177"/>
      <c r="H21" s="177"/>
      <c r="I21" s="411"/>
      <c r="J21" s="438"/>
      <c r="M21" s="16"/>
    </row>
    <row r="22" spans="1:13" ht="9.75" customHeight="1">
      <c r="A22" s="578"/>
      <c r="B22" s="579"/>
      <c r="C22" s="584"/>
      <c r="D22" s="612"/>
      <c r="E22" s="412"/>
      <c r="F22" s="178"/>
      <c r="G22" s="178"/>
      <c r="H22" s="178"/>
      <c r="I22" s="409"/>
      <c r="J22" s="439"/>
      <c r="M22" s="16"/>
    </row>
    <row r="23" spans="1:13" ht="19.5" customHeight="1">
      <c r="A23" s="578"/>
      <c r="B23" s="579"/>
      <c r="C23" s="584"/>
      <c r="D23" s="612"/>
      <c r="E23" s="413"/>
      <c r="F23" s="179"/>
      <c r="G23" s="179"/>
      <c r="H23" s="179"/>
      <c r="I23" s="414"/>
      <c r="J23" s="440"/>
      <c r="M23" s="16"/>
    </row>
    <row r="24" spans="1:13" ht="15" customHeight="1">
      <c r="A24" s="141"/>
      <c r="B24" s="25">
        <v>411000</v>
      </c>
      <c r="C24" s="19"/>
      <c r="D24" s="34" t="s">
        <v>143</v>
      </c>
      <c r="E24" s="406">
        <f>SUM(E25)</f>
        <v>2200</v>
      </c>
      <c r="F24" s="406">
        <f>SUM(F25)</f>
        <v>1634</v>
      </c>
      <c r="G24" s="406">
        <f>SUM(G25)</f>
        <v>2500</v>
      </c>
      <c r="H24" s="406">
        <f>G24/F24*100</f>
        <v>152.99877600979192</v>
      </c>
      <c r="I24" s="407">
        <f aca="true" t="shared" si="3" ref="I24:I47">IF(E24&gt;0,G24/E24*100,0)</f>
        <v>113.63636363636364</v>
      </c>
      <c r="J24" s="408">
        <f aca="true" t="shared" si="4" ref="J24:J47">G24/$G$491*100</f>
        <v>0.011822007849813212</v>
      </c>
      <c r="M24" s="16"/>
    </row>
    <row r="25" spans="1:13" ht="12.75">
      <c r="A25" s="141" t="s">
        <v>28</v>
      </c>
      <c r="B25" s="283"/>
      <c r="C25" s="286">
        <v>411200</v>
      </c>
      <c r="D25" s="46" t="s">
        <v>451</v>
      </c>
      <c r="E25" s="285">
        <v>2200</v>
      </c>
      <c r="F25" s="285">
        <v>1634</v>
      </c>
      <c r="G25" s="285">
        <v>2500</v>
      </c>
      <c r="H25" s="350">
        <f aca="true" t="shared" si="5" ref="H25:H47">G25/F25*100</f>
        <v>152.99877600979192</v>
      </c>
      <c r="I25" s="349">
        <f t="shared" si="3"/>
        <v>113.63636363636364</v>
      </c>
      <c r="J25" s="315">
        <f t="shared" si="4"/>
        <v>0.011822007849813212</v>
      </c>
      <c r="M25" s="16"/>
    </row>
    <row r="26" spans="1:13" ht="14.25" customHeight="1">
      <c r="A26" s="141"/>
      <c r="B26" s="25">
        <v>412000</v>
      </c>
      <c r="C26" s="19"/>
      <c r="D26" s="34" t="s">
        <v>145</v>
      </c>
      <c r="E26" s="67">
        <f>SUM(E27:E34)</f>
        <v>42000</v>
      </c>
      <c r="F26" s="67">
        <f>SUM(F27:F35)</f>
        <v>37050</v>
      </c>
      <c r="G26" s="67">
        <f>SUM(G27:G36)</f>
        <v>79000</v>
      </c>
      <c r="H26" s="67">
        <f t="shared" si="5"/>
        <v>213.22537112010798</v>
      </c>
      <c r="I26" s="192">
        <f t="shared" si="3"/>
        <v>188.0952380952381</v>
      </c>
      <c r="J26" s="346">
        <f t="shared" si="4"/>
        <v>0.3735754480540975</v>
      </c>
      <c r="M26" s="16"/>
    </row>
    <row r="27" spans="1:13" ht="12.75" customHeight="1">
      <c r="A27" s="141" t="s">
        <v>28</v>
      </c>
      <c r="B27" s="35"/>
      <c r="C27" s="19">
        <v>412900</v>
      </c>
      <c r="D27" s="32" t="s">
        <v>0</v>
      </c>
      <c r="E27" s="204">
        <v>18000</v>
      </c>
      <c r="F27" s="204">
        <v>19750</v>
      </c>
      <c r="G27" s="189">
        <v>20000</v>
      </c>
      <c r="H27" s="350">
        <f t="shared" si="5"/>
        <v>101.26582278481013</v>
      </c>
      <c r="I27" s="349">
        <f t="shared" si="3"/>
        <v>111.11111111111111</v>
      </c>
      <c r="J27" s="315">
        <f t="shared" si="4"/>
        <v>0.0945760627985057</v>
      </c>
      <c r="M27" s="16"/>
    </row>
    <row r="28" spans="1:13" ht="12.75" customHeight="1" hidden="1">
      <c r="A28" s="141" t="s">
        <v>28</v>
      </c>
      <c r="B28" s="35"/>
      <c r="C28" s="19">
        <v>412900</v>
      </c>
      <c r="D28" s="32" t="s">
        <v>412</v>
      </c>
      <c r="E28" s="204">
        <v>0</v>
      </c>
      <c r="F28" s="204"/>
      <c r="G28" s="189"/>
      <c r="H28" s="350" t="e">
        <f t="shared" si="5"/>
        <v>#DIV/0!</v>
      </c>
      <c r="I28" s="349">
        <f t="shared" si="3"/>
        <v>0</v>
      </c>
      <c r="J28" s="315">
        <f t="shared" si="4"/>
        <v>0</v>
      </c>
      <c r="M28" s="16"/>
    </row>
    <row r="29" spans="1:14" ht="12.75" customHeight="1">
      <c r="A29" s="141" t="s">
        <v>28</v>
      </c>
      <c r="B29" s="35"/>
      <c r="C29" s="40">
        <v>412900</v>
      </c>
      <c r="D29" s="36" t="s">
        <v>103</v>
      </c>
      <c r="E29" s="204">
        <v>7000</v>
      </c>
      <c r="F29" s="204">
        <v>7000</v>
      </c>
      <c r="G29" s="189">
        <v>7000</v>
      </c>
      <c r="H29" s="350">
        <f t="shared" si="5"/>
        <v>100</v>
      </c>
      <c r="I29" s="349">
        <f t="shared" si="3"/>
        <v>100</v>
      </c>
      <c r="J29" s="315">
        <f t="shared" si="4"/>
        <v>0.033101621979477</v>
      </c>
      <c r="K29" s="452"/>
      <c r="L29" s="468"/>
      <c r="M29"/>
      <c r="N29"/>
    </row>
    <row r="30" spans="1:10" ht="12.75" customHeight="1" hidden="1">
      <c r="A30" s="141" t="s">
        <v>28</v>
      </c>
      <c r="B30" s="25"/>
      <c r="C30" s="39">
        <v>412900</v>
      </c>
      <c r="D30" s="41" t="s">
        <v>215</v>
      </c>
      <c r="E30" s="204">
        <v>0</v>
      </c>
      <c r="F30" s="204">
        <v>0</v>
      </c>
      <c r="G30" s="189">
        <v>0</v>
      </c>
      <c r="H30" s="350" t="e">
        <f t="shared" si="5"/>
        <v>#DIV/0!</v>
      </c>
      <c r="I30" s="349">
        <f t="shared" si="3"/>
        <v>0</v>
      </c>
      <c r="J30" s="315">
        <f t="shared" si="4"/>
        <v>0</v>
      </c>
    </row>
    <row r="31" spans="1:10" ht="24" customHeight="1">
      <c r="A31" s="42" t="s">
        <v>28</v>
      </c>
      <c r="B31" s="35"/>
      <c r="C31" s="39">
        <v>412900</v>
      </c>
      <c r="D31" s="36" t="s">
        <v>294</v>
      </c>
      <c r="E31" s="204">
        <v>5000</v>
      </c>
      <c r="F31" s="204">
        <v>0</v>
      </c>
      <c r="G31" s="189">
        <v>0</v>
      </c>
      <c r="H31" s="350" t="e">
        <f t="shared" si="5"/>
        <v>#DIV/0!</v>
      </c>
      <c r="I31" s="349">
        <f t="shared" si="3"/>
        <v>0</v>
      </c>
      <c r="J31" s="315">
        <f t="shared" si="4"/>
        <v>0</v>
      </c>
    </row>
    <row r="32" spans="1:10" ht="12" customHeight="1">
      <c r="A32" s="42" t="s">
        <v>28</v>
      </c>
      <c r="B32" s="35"/>
      <c r="C32" s="39">
        <v>412900</v>
      </c>
      <c r="D32" s="36" t="s">
        <v>292</v>
      </c>
      <c r="E32" s="204">
        <v>9000</v>
      </c>
      <c r="F32" s="204">
        <v>6800</v>
      </c>
      <c r="G32" s="189">
        <v>7000</v>
      </c>
      <c r="H32" s="350">
        <f t="shared" si="5"/>
        <v>102.94117647058823</v>
      </c>
      <c r="I32" s="349">
        <f t="shared" si="3"/>
        <v>77.77777777777779</v>
      </c>
      <c r="J32" s="315">
        <f t="shared" si="4"/>
        <v>0.033101621979477</v>
      </c>
    </row>
    <row r="33" spans="1:10" ht="1.5" customHeight="1" hidden="1">
      <c r="A33" s="42" t="s">
        <v>28</v>
      </c>
      <c r="B33" s="35"/>
      <c r="C33" s="39">
        <v>412900</v>
      </c>
      <c r="D33" s="36" t="s">
        <v>154</v>
      </c>
      <c r="E33" s="204">
        <v>0</v>
      </c>
      <c r="F33" s="204">
        <v>0</v>
      </c>
      <c r="G33" s="189">
        <v>0</v>
      </c>
      <c r="H33" s="350" t="e">
        <f t="shared" si="5"/>
        <v>#DIV/0!</v>
      </c>
      <c r="I33" s="349">
        <f t="shared" si="3"/>
        <v>0</v>
      </c>
      <c r="J33" s="315">
        <f t="shared" si="4"/>
        <v>0</v>
      </c>
    </row>
    <row r="34" spans="1:10" ht="12.75">
      <c r="A34" s="42" t="s">
        <v>28</v>
      </c>
      <c r="B34" s="35"/>
      <c r="C34" s="39">
        <v>412900</v>
      </c>
      <c r="D34" s="36" t="s">
        <v>373</v>
      </c>
      <c r="E34" s="204">
        <v>3000</v>
      </c>
      <c r="F34" s="204">
        <v>2700</v>
      </c>
      <c r="G34" s="189">
        <v>3000</v>
      </c>
      <c r="H34" s="350">
        <f t="shared" si="5"/>
        <v>111.11111111111111</v>
      </c>
      <c r="I34" s="349">
        <f t="shared" si="3"/>
        <v>100</v>
      </c>
      <c r="J34" s="315">
        <f t="shared" si="4"/>
        <v>0.014186409419775853</v>
      </c>
    </row>
    <row r="35" spans="1:10" ht="24" customHeight="1">
      <c r="A35" s="42" t="s">
        <v>28</v>
      </c>
      <c r="B35" s="35"/>
      <c r="C35" s="39">
        <v>412900</v>
      </c>
      <c r="D35" s="36" t="s">
        <v>471</v>
      </c>
      <c r="E35" s="204">
        <v>0</v>
      </c>
      <c r="F35" s="204">
        <v>800</v>
      </c>
      <c r="G35" s="204">
        <v>0</v>
      </c>
      <c r="H35" s="350">
        <f t="shared" si="5"/>
        <v>0</v>
      </c>
      <c r="I35" s="349">
        <f t="shared" si="3"/>
        <v>0</v>
      </c>
      <c r="J35" s="315">
        <f t="shared" si="4"/>
        <v>0</v>
      </c>
    </row>
    <row r="36" spans="1:10" ht="24" customHeight="1">
      <c r="A36" s="42" t="s">
        <v>28</v>
      </c>
      <c r="B36" s="35"/>
      <c r="C36" s="39">
        <v>412900</v>
      </c>
      <c r="D36" s="36" t="s">
        <v>569</v>
      </c>
      <c r="E36" s="204">
        <v>0</v>
      </c>
      <c r="F36" s="204">
        <v>0</v>
      </c>
      <c r="G36" s="204">
        <v>42000</v>
      </c>
      <c r="H36" s="350" t="e">
        <f t="shared" si="5"/>
        <v>#DIV/0!</v>
      </c>
      <c r="I36" s="349">
        <f t="shared" si="3"/>
        <v>0</v>
      </c>
      <c r="J36" s="315">
        <f t="shared" si="4"/>
        <v>0.19860973187686196</v>
      </c>
    </row>
    <row r="37" spans="1:10" ht="14.25" customHeight="1">
      <c r="A37" s="42"/>
      <c r="B37" s="25">
        <v>419000</v>
      </c>
      <c r="C37" s="39"/>
      <c r="D37" s="34" t="s">
        <v>418</v>
      </c>
      <c r="E37" s="67">
        <f>SUM(E38)</f>
        <v>160000</v>
      </c>
      <c r="F37" s="67">
        <f>SUM(F38)</f>
        <v>101900</v>
      </c>
      <c r="G37" s="67">
        <f>SUM(G38)</f>
        <v>0</v>
      </c>
      <c r="H37" s="67">
        <f t="shared" si="5"/>
        <v>0</v>
      </c>
      <c r="I37" s="192">
        <f t="shared" si="3"/>
        <v>0</v>
      </c>
      <c r="J37" s="346">
        <f t="shared" si="4"/>
        <v>0</v>
      </c>
    </row>
    <row r="38" spans="1:10" ht="15" customHeight="1">
      <c r="A38" s="42" t="s">
        <v>28</v>
      </c>
      <c r="B38" s="35"/>
      <c r="C38" s="39">
        <v>419100</v>
      </c>
      <c r="D38" s="36" t="s">
        <v>104</v>
      </c>
      <c r="E38" s="204">
        <v>160000</v>
      </c>
      <c r="F38" s="204">
        <v>101900</v>
      </c>
      <c r="G38" s="204">
        <v>0</v>
      </c>
      <c r="H38" s="350">
        <f t="shared" si="5"/>
        <v>0</v>
      </c>
      <c r="I38" s="349">
        <f t="shared" si="3"/>
        <v>0</v>
      </c>
      <c r="J38" s="315">
        <f t="shared" si="4"/>
        <v>0</v>
      </c>
    </row>
    <row r="39" spans="1:10" ht="14.25" customHeight="1">
      <c r="A39" s="141"/>
      <c r="B39" s="78">
        <v>513000</v>
      </c>
      <c r="C39" s="39"/>
      <c r="D39" s="61" t="s">
        <v>190</v>
      </c>
      <c r="E39" s="67">
        <f>SUM(E40:E40)</f>
        <v>50000</v>
      </c>
      <c r="F39" s="67">
        <f>SUM(F40:F40)</f>
        <v>107000</v>
      </c>
      <c r="G39" s="67">
        <f>SUM(G40:G40)</f>
        <v>0</v>
      </c>
      <c r="H39" s="67">
        <f t="shared" si="5"/>
        <v>0</v>
      </c>
      <c r="I39" s="192">
        <f t="shared" si="3"/>
        <v>0</v>
      </c>
      <c r="J39" s="346">
        <f t="shared" si="4"/>
        <v>0</v>
      </c>
    </row>
    <row r="40" spans="1:10" ht="14.25" customHeight="1">
      <c r="A40" s="42" t="s">
        <v>28</v>
      </c>
      <c r="B40" s="35"/>
      <c r="C40" s="39">
        <v>513100</v>
      </c>
      <c r="D40" s="32" t="s">
        <v>269</v>
      </c>
      <c r="E40" s="204">
        <v>50000</v>
      </c>
      <c r="F40" s="204">
        <v>107000</v>
      </c>
      <c r="G40" s="204">
        <v>0</v>
      </c>
      <c r="H40" s="350">
        <f t="shared" si="5"/>
        <v>0</v>
      </c>
      <c r="I40" s="349">
        <f t="shared" si="3"/>
        <v>0</v>
      </c>
      <c r="J40" s="315">
        <f t="shared" si="4"/>
        <v>0</v>
      </c>
    </row>
    <row r="41" spans="1:10" ht="15" customHeight="1">
      <c r="A41" s="42"/>
      <c r="B41" s="35"/>
      <c r="C41" s="39"/>
      <c r="D41" s="34" t="s">
        <v>365</v>
      </c>
      <c r="E41" s="67">
        <f>SUM(E42:E46)</f>
        <v>28000</v>
      </c>
      <c r="F41" s="67">
        <f>SUM(F42:F46)</f>
        <v>26600</v>
      </c>
      <c r="G41" s="67">
        <f>SUM(G42:G46)</f>
        <v>0</v>
      </c>
      <c r="H41" s="67">
        <f t="shared" si="5"/>
        <v>0</v>
      </c>
      <c r="I41" s="192">
        <f t="shared" si="3"/>
        <v>0</v>
      </c>
      <c r="J41" s="346">
        <f t="shared" si="4"/>
        <v>0</v>
      </c>
    </row>
    <row r="42" spans="1:10" ht="12.75">
      <c r="A42" s="42" t="s">
        <v>60</v>
      </c>
      <c r="B42" s="35"/>
      <c r="C42" s="39">
        <v>412900</v>
      </c>
      <c r="D42" s="32" t="s">
        <v>342</v>
      </c>
      <c r="E42" s="204">
        <v>2000</v>
      </c>
      <c r="F42" s="204">
        <v>1900</v>
      </c>
      <c r="G42" s="204">
        <v>0</v>
      </c>
      <c r="H42" s="350">
        <f t="shared" si="5"/>
        <v>0</v>
      </c>
      <c r="I42" s="349">
        <f t="shared" si="3"/>
        <v>0</v>
      </c>
      <c r="J42" s="315">
        <f t="shared" si="4"/>
        <v>0</v>
      </c>
    </row>
    <row r="43" spans="1:10" ht="24" customHeight="1">
      <c r="A43" s="42" t="s">
        <v>60</v>
      </c>
      <c r="B43" s="35"/>
      <c r="C43" s="39">
        <v>412900</v>
      </c>
      <c r="D43" s="32" t="s">
        <v>407</v>
      </c>
      <c r="E43" s="204">
        <v>2000</v>
      </c>
      <c r="F43" s="204">
        <v>1900</v>
      </c>
      <c r="G43" s="204">
        <v>0</v>
      </c>
      <c r="H43" s="350">
        <f t="shared" si="5"/>
        <v>0</v>
      </c>
      <c r="I43" s="349">
        <f t="shared" si="3"/>
        <v>0</v>
      </c>
      <c r="J43" s="315">
        <f t="shared" si="4"/>
        <v>0</v>
      </c>
    </row>
    <row r="44" spans="1:10" ht="12.75" customHeight="1">
      <c r="A44" s="42" t="s">
        <v>34</v>
      </c>
      <c r="B44" s="35"/>
      <c r="C44" s="39">
        <v>416100</v>
      </c>
      <c r="D44" s="32" t="s">
        <v>227</v>
      </c>
      <c r="E44" s="204">
        <v>20000</v>
      </c>
      <c r="F44" s="204">
        <v>19000</v>
      </c>
      <c r="G44" s="204">
        <v>0</v>
      </c>
      <c r="H44" s="350">
        <f t="shared" si="5"/>
        <v>0</v>
      </c>
      <c r="I44" s="349">
        <f t="shared" si="3"/>
        <v>0</v>
      </c>
      <c r="J44" s="315">
        <f t="shared" si="4"/>
        <v>0</v>
      </c>
    </row>
    <row r="45" spans="1:10" ht="23.25" customHeight="1" hidden="1">
      <c r="A45" s="42" t="s">
        <v>60</v>
      </c>
      <c r="B45" s="35"/>
      <c r="C45" s="39">
        <v>511200</v>
      </c>
      <c r="D45" s="32" t="s">
        <v>406</v>
      </c>
      <c r="E45" s="204">
        <v>0</v>
      </c>
      <c r="F45" s="204"/>
      <c r="G45" s="204"/>
      <c r="H45" s="350" t="e">
        <f t="shared" si="5"/>
        <v>#DIV/0!</v>
      </c>
      <c r="I45" s="349">
        <f t="shared" si="3"/>
        <v>0</v>
      </c>
      <c r="J45" s="315">
        <f t="shared" si="4"/>
        <v>0</v>
      </c>
    </row>
    <row r="46" spans="1:10" ht="12.75">
      <c r="A46" s="42" t="s">
        <v>60</v>
      </c>
      <c r="B46" s="35"/>
      <c r="C46" s="39">
        <v>511300</v>
      </c>
      <c r="D46" s="32" t="s">
        <v>343</v>
      </c>
      <c r="E46" s="204">
        <v>4000</v>
      </c>
      <c r="F46" s="204">
        <v>3800</v>
      </c>
      <c r="G46" s="204">
        <v>0</v>
      </c>
      <c r="H46" s="350">
        <f t="shared" si="5"/>
        <v>0</v>
      </c>
      <c r="I46" s="349">
        <f t="shared" si="3"/>
        <v>0</v>
      </c>
      <c r="J46" s="315">
        <f t="shared" si="4"/>
        <v>0</v>
      </c>
    </row>
    <row r="47" spans="1:10" ht="30" customHeight="1">
      <c r="A47" s="578"/>
      <c r="B47" s="579"/>
      <c r="C47" s="590" t="s">
        <v>86</v>
      </c>
      <c r="D47" s="590"/>
      <c r="E47" s="73">
        <f>E24+E26+E37+E39+E41</f>
        <v>282200</v>
      </c>
      <c r="F47" s="73">
        <f>F24+F26+F37+F39+F41</f>
        <v>274184</v>
      </c>
      <c r="G47" s="73">
        <f>G24+G26+G37+G39+G41</f>
        <v>81500</v>
      </c>
      <c r="H47" s="365">
        <f t="shared" si="5"/>
        <v>29.724564526011733</v>
      </c>
      <c r="I47" s="357">
        <f t="shared" si="3"/>
        <v>28.88022678951099</v>
      </c>
      <c r="J47" s="358">
        <f t="shared" si="4"/>
        <v>0.3853974559039107</v>
      </c>
    </row>
    <row r="48" spans="1:10" ht="30" customHeight="1">
      <c r="A48" s="580"/>
      <c r="B48" s="581"/>
      <c r="C48" s="587" t="s">
        <v>512</v>
      </c>
      <c r="D48" s="588"/>
      <c r="E48" s="397"/>
      <c r="F48" s="180"/>
      <c r="G48" s="180"/>
      <c r="H48" s="180"/>
      <c r="I48" s="180"/>
      <c r="J48" s="441"/>
    </row>
    <row r="49" spans="1:10" ht="13.5" customHeight="1">
      <c r="A49" s="580"/>
      <c r="B49" s="581"/>
      <c r="C49" s="589"/>
      <c r="D49" s="588"/>
      <c r="E49" s="398"/>
      <c r="F49" s="181"/>
      <c r="G49" s="181"/>
      <c r="H49" s="181"/>
      <c r="I49" s="396"/>
      <c r="J49" s="442"/>
    </row>
    <row r="50" spans="1:10" ht="13.5" customHeight="1" hidden="1">
      <c r="A50" s="580"/>
      <c r="B50" s="581"/>
      <c r="C50" s="589"/>
      <c r="D50" s="588"/>
      <c r="E50" s="399"/>
      <c r="F50" s="182"/>
      <c r="G50" s="182"/>
      <c r="H50" s="182"/>
      <c r="I50" s="400"/>
      <c r="J50" s="443"/>
    </row>
    <row r="51" spans="1:10" ht="12.75">
      <c r="A51" s="30"/>
      <c r="B51" s="403" t="s">
        <v>495</v>
      </c>
      <c r="C51" s="66"/>
      <c r="D51" s="82" t="s">
        <v>145</v>
      </c>
      <c r="E51" s="431">
        <f>SUM(E52:E53)</f>
        <v>0</v>
      </c>
      <c r="F51" s="431">
        <f>SUM(F52:F53)</f>
        <v>0</v>
      </c>
      <c r="G51" s="431">
        <f>SUM(G52:G54)</f>
        <v>17000</v>
      </c>
      <c r="H51" s="431"/>
      <c r="I51" s="432">
        <f aca="true" t="shared" si="6" ref="I51:I59">IF(E51&gt;0,G51/E51*100,0)</f>
        <v>0</v>
      </c>
      <c r="J51" s="444">
        <f aca="true" t="shared" si="7" ref="J51:J59">G51/$G$491*100</f>
        <v>0.08038965337872984</v>
      </c>
    </row>
    <row r="52" spans="1:10" ht="12.75" hidden="1">
      <c r="A52" s="141" t="s">
        <v>28</v>
      </c>
      <c r="B52" s="403"/>
      <c r="C52" s="47">
        <v>412900</v>
      </c>
      <c r="D52" s="94" t="s">
        <v>0</v>
      </c>
      <c r="E52" s="284">
        <v>0</v>
      </c>
      <c r="F52" s="284">
        <v>0</v>
      </c>
      <c r="G52" s="284">
        <v>0</v>
      </c>
      <c r="H52" s="284"/>
      <c r="I52" s="433">
        <f t="shared" si="6"/>
        <v>0</v>
      </c>
      <c r="J52" s="445">
        <f t="shared" si="7"/>
        <v>0</v>
      </c>
    </row>
    <row r="53" spans="1:10" ht="24">
      <c r="A53" s="141" t="s">
        <v>28</v>
      </c>
      <c r="B53" s="403"/>
      <c r="C53" s="47">
        <v>412900</v>
      </c>
      <c r="D53" s="46" t="s">
        <v>517</v>
      </c>
      <c r="E53" s="284">
        <v>0</v>
      </c>
      <c r="F53" s="284">
        <v>0</v>
      </c>
      <c r="G53" s="284">
        <v>2000</v>
      </c>
      <c r="H53" s="284"/>
      <c r="I53" s="433">
        <f t="shared" si="6"/>
        <v>0</v>
      </c>
      <c r="J53" s="445">
        <f t="shared" si="7"/>
        <v>0.00945760627985057</v>
      </c>
    </row>
    <row r="54" spans="1:10" ht="12.75">
      <c r="A54" s="141" t="s">
        <v>28</v>
      </c>
      <c r="B54" s="403"/>
      <c r="C54" s="47">
        <v>412900</v>
      </c>
      <c r="D54" s="46" t="s">
        <v>152</v>
      </c>
      <c r="E54" s="284">
        <v>0</v>
      </c>
      <c r="F54" s="284">
        <v>0</v>
      </c>
      <c r="G54" s="284">
        <v>15000</v>
      </c>
      <c r="H54" s="284"/>
      <c r="I54" s="433">
        <f>IF(E54&gt;0,G54/E54*100,0)</f>
        <v>0</v>
      </c>
      <c r="J54" s="445">
        <f t="shared" si="7"/>
        <v>0.07093204709887928</v>
      </c>
    </row>
    <row r="55" spans="1:10" ht="12.75">
      <c r="A55" s="141"/>
      <c r="B55" s="403" t="s">
        <v>514</v>
      </c>
      <c r="C55" s="66"/>
      <c r="D55" s="82" t="s">
        <v>418</v>
      </c>
      <c r="E55" s="431">
        <f>SUM(E56)</f>
        <v>0</v>
      </c>
      <c r="F55" s="431">
        <f>SUM(F56)</f>
        <v>0</v>
      </c>
      <c r="G55" s="431">
        <f>SUM(G56)</f>
        <v>150000</v>
      </c>
      <c r="H55" s="431"/>
      <c r="I55" s="432">
        <f t="shared" si="6"/>
        <v>0</v>
      </c>
      <c r="J55" s="444">
        <f t="shared" si="7"/>
        <v>0.7093204709887928</v>
      </c>
    </row>
    <row r="56" spans="1:10" ht="14.25" customHeight="1">
      <c r="A56" s="141" t="s">
        <v>28</v>
      </c>
      <c r="B56" s="403"/>
      <c r="C56" s="47">
        <v>419100</v>
      </c>
      <c r="D56" s="46" t="s">
        <v>516</v>
      </c>
      <c r="E56" s="284">
        <v>0</v>
      </c>
      <c r="F56" s="284">
        <v>0</v>
      </c>
      <c r="G56" s="285">
        <v>150000</v>
      </c>
      <c r="H56" s="284"/>
      <c r="I56" s="433">
        <f t="shared" si="6"/>
        <v>0</v>
      </c>
      <c r="J56" s="445">
        <f t="shared" si="7"/>
        <v>0.7093204709887928</v>
      </c>
    </row>
    <row r="57" spans="1:10" ht="12.75">
      <c r="A57" s="141"/>
      <c r="B57" s="403" t="s">
        <v>515</v>
      </c>
      <c r="C57" s="66"/>
      <c r="D57" s="82" t="s">
        <v>190</v>
      </c>
      <c r="E57" s="431">
        <f>SUM(E58)</f>
        <v>0</v>
      </c>
      <c r="F57" s="431">
        <f>SUM(F58)</f>
        <v>0</v>
      </c>
      <c r="G57" s="431">
        <f>SUM(G58)</f>
        <v>110000</v>
      </c>
      <c r="H57" s="431"/>
      <c r="I57" s="432">
        <f t="shared" si="6"/>
        <v>0</v>
      </c>
      <c r="J57" s="444">
        <f t="shared" si="7"/>
        <v>0.5201683453917814</v>
      </c>
    </row>
    <row r="58" spans="1:10" ht="15" customHeight="1">
      <c r="A58" s="141" t="s">
        <v>28</v>
      </c>
      <c r="B58" s="401"/>
      <c r="C58" s="384">
        <v>513100</v>
      </c>
      <c r="D58" s="374" t="s">
        <v>269</v>
      </c>
      <c r="E58" s="350">
        <v>0</v>
      </c>
      <c r="F58" s="350">
        <v>0</v>
      </c>
      <c r="G58" s="350">
        <v>110000</v>
      </c>
      <c r="H58" s="350"/>
      <c r="I58" s="433">
        <f t="shared" si="6"/>
        <v>0</v>
      </c>
      <c r="J58" s="445">
        <f t="shared" si="7"/>
        <v>0.5201683453917814</v>
      </c>
    </row>
    <row r="59" spans="1:10" ht="30" customHeight="1">
      <c r="A59" s="446"/>
      <c r="B59" s="402"/>
      <c r="C59" s="590" t="s">
        <v>513</v>
      </c>
      <c r="D59" s="590"/>
      <c r="E59" s="365">
        <f>E51+E55+E57</f>
        <v>0</v>
      </c>
      <c r="F59" s="365">
        <f>F51+F55+F57</f>
        <v>0</v>
      </c>
      <c r="G59" s="365">
        <f>G51+G55+G57</f>
        <v>277000</v>
      </c>
      <c r="H59" s="365"/>
      <c r="I59" s="382">
        <f t="shared" si="6"/>
        <v>0</v>
      </c>
      <c r="J59" s="447">
        <f t="shared" si="7"/>
        <v>1.309878469759304</v>
      </c>
    </row>
    <row r="60" spans="1:10" ht="9.75" customHeight="1">
      <c r="A60" s="578"/>
      <c r="B60" s="579"/>
      <c r="C60" s="584" t="s">
        <v>122</v>
      </c>
      <c r="D60" s="612"/>
      <c r="E60" s="397"/>
      <c r="F60" s="180"/>
      <c r="G60" s="180"/>
      <c r="H60" s="180"/>
      <c r="I60" s="416"/>
      <c r="J60" s="441"/>
    </row>
    <row r="61" spans="1:10" ht="9.75" customHeight="1">
      <c r="A61" s="578"/>
      <c r="B61" s="579"/>
      <c r="C61" s="584"/>
      <c r="D61" s="612"/>
      <c r="E61" s="398"/>
      <c r="F61" s="181"/>
      <c r="G61" s="181"/>
      <c r="H61" s="181"/>
      <c r="I61" s="396"/>
      <c r="J61" s="442"/>
    </row>
    <row r="62" spans="1:10" ht="19.5" customHeight="1">
      <c r="A62" s="578"/>
      <c r="B62" s="579"/>
      <c r="C62" s="584"/>
      <c r="D62" s="612"/>
      <c r="E62" s="399"/>
      <c r="F62" s="182"/>
      <c r="G62" s="182"/>
      <c r="H62" s="182"/>
      <c r="I62" s="400"/>
      <c r="J62" s="443"/>
    </row>
    <row r="63" spans="1:10" ht="14.25" customHeight="1">
      <c r="A63" s="141"/>
      <c r="B63" s="25">
        <v>412000</v>
      </c>
      <c r="C63" s="33"/>
      <c r="D63" s="34" t="s">
        <v>145</v>
      </c>
      <c r="E63" s="415">
        <f>SUM(E64:E68)</f>
        <v>47900</v>
      </c>
      <c r="F63" s="415">
        <f>SUM(F64:F68)</f>
        <v>41900</v>
      </c>
      <c r="G63" s="415">
        <f>SUM(G64:G68)</f>
        <v>26900</v>
      </c>
      <c r="H63" s="415">
        <f>G63/F63*100</f>
        <v>64.20047732696898</v>
      </c>
      <c r="I63" s="407">
        <f aca="true" t="shared" si="8" ref="I63:I75">IF(E63&gt;0,G63/E63*100,0)</f>
        <v>56.158663883089766</v>
      </c>
      <c r="J63" s="408">
        <f aca="true" t="shared" si="9" ref="J63:J75">G63/$G$491*100</f>
        <v>0.12720480446399016</v>
      </c>
    </row>
    <row r="64" spans="1:10" ht="12.75" customHeight="1">
      <c r="A64" s="141" t="s">
        <v>28</v>
      </c>
      <c r="B64" s="35"/>
      <c r="C64" s="19">
        <v>412700</v>
      </c>
      <c r="D64" s="35" t="s">
        <v>169</v>
      </c>
      <c r="E64" s="204">
        <v>2500</v>
      </c>
      <c r="F64" s="204">
        <v>1500</v>
      </c>
      <c r="G64" s="204">
        <v>2500</v>
      </c>
      <c r="H64" s="218">
        <f aca="true" t="shared" si="10" ref="H64:H75">G64/F64*100</f>
        <v>166.66666666666669</v>
      </c>
      <c r="I64" s="349">
        <f t="shared" si="8"/>
        <v>100</v>
      </c>
      <c r="J64" s="315">
        <f t="shared" si="9"/>
        <v>0.011822007849813212</v>
      </c>
    </row>
    <row r="65" spans="1:10" ht="12.75" customHeight="1">
      <c r="A65" s="141" t="s">
        <v>38</v>
      </c>
      <c r="B65" s="35"/>
      <c r="C65" s="19">
        <v>412700</v>
      </c>
      <c r="D65" s="35" t="s">
        <v>116</v>
      </c>
      <c r="E65" s="204">
        <v>13000</v>
      </c>
      <c r="F65" s="204">
        <v>12500</v>
      </c>
      <c r="G65" s="204">
        <v>12500</v>
      </c>
      <c r="H65" s="218">
        <f t="shared" si="10"/>
        <v>100</v>
      </c>
      <c r="I65" s="349">
        <f t="shared" si="8"/>
        <v>96.15384615384616</v>
      </c>
      <c r="J65" s="315">
        <f t="shared" si="9"/>
        <v>0.05911003924906606</v>
      </c>
    </row>
    <row r="66" spans="1:10" ht="12.75" customHeight="1">
      <c r="A66" s="141" t="s">
        <v>28</v>
      </c>
      <c r="B66" s="35"/>
      <c r="C66" s="19">
        <v>412900</v>
      </c>
      <c r="D66" s="32" t="s">
        <v>0</v>
      </c>
      <c r="E66" s="204">
        <v>400</v>
      </c>
      <c r="F66" s="204">
        <v>400</v>
      </c>
      <c r="G66" s="204">
        <v>400</v>
      </c>
      <c r="H66" s="218">
        <f t="shared" si="10"/>
        <v>100</v>
      </c>
      <c r="I66" s="349">
        <f t="shared" si="8"/>
        <v>100</v>
      </c>
      <c r="J66" s="315">
        <f t="shared" si="9"/>
        <v>0.0018915212559701142</v>
      </c>
    </row>
    <row r="67" spans="1:10" ht="12.75" customHeight="1">
      <c r="A67" s="141" t="s">
        <v>28</v>
      </c>
      <c r="B67" s="35"/>
      <c r="C67" s="19">
        <v>412900</v>
      </c>
      <c r="D67" s="36" t="s">
        <v>210</v>
      </c>
      <c r="E67" s="204">
        <v>12000</v>
      </c>
      <c r="F67" s="204">
        <v>9500</v>
      </c>
      <c r="G67" s="204">
        <v>11500</v>
      </c>
      <c r="H67" s="218">
        <f t="shared" si="10"/>
        <v>121.05263157894737</v>
      </c>
      <c r="I67" s="349">
        <f t="shared" si="8"/>
        <v>95.83333333333334</v>
      </c>
      <c r="J67" s="315">
        <f t="shared" si="9"/>
        <v>0.05438123610914077</v>
      </c>
    </row>
    <row r="68" spans="1:10" ht="13.5" customHeight="1">
      <c r="A68" s="141" t="s">
        <v>28</v>
      </c>
      <c r="B68" s="35"/>
      <c r="C68" s="19">
        <v>412900</v>
      </c>
      <c r="D68" s="36" t="s">
        <v>403</v>
      </c>
      <c r="E68" s="204">
        <v>20000</v>
      </c>
      <c r="F68" s="204">
        <v>18000</v>
      </c>
      <c r="G68" s="204">
        <v>0</v>
      </c>
      <c r="H68" s="218">
        <f t="shared" si="10"/>
        <v>0</v>
      </c>
      <c r="I68" s="349">
        <f t="shared" si="8"/>
        <v>0</v>
      </c>
      <c r="J68" s="315">
        <f t="shared" si="9"/>
        <v>0</v>
      </c>
    </row>
    <row r="69" spans="1:10" ht="14.25" customHeight="1">
      <c r="A69" s="141"/>
      <c r="B69" s="35"/>
      <c r="C69" s="19"/>
      <c r="D69" s="48" t="s">
        <v>142</v>
      </c>
      <c r="E69" s="193">
        <f>SUM(E70:E74)</f>
        <v>18000</v>
      </c>
      <c r="F69" s="193">
        <f>SUM(F70:F74)</f>
        <v>18000</v>
      </c>
      <c r="G69" s="193">
        <f>SUM(G70:G74)</f>
        <v>18000</v>
      </c>
      <c r="H69" s="193">
        <f t="shared" si="10"/>
        <v>100</v>
      </c>
      <c r="I69" s="192">
        <f t="shared" si="8"/>
        <v>100</v>
      </c>
      <c r="J69" s="346">
        <f t="shared" si="9"/>
        <v>0.08511845651865513</v>
      </c>
    </row>
    <row r="70" spans="1:10" ht="14.25" customHeight="1">
      <c r="A70" s="141" t="s">
        <v>41</v>
      </c>
      <c r="B70" s="35"/>
      <c r="C70" s="19">
        <v>412300</v>
      </c>
      <c r="D70" s="36" t="s">
        <v>282</v>
      </c>
      <c r="E70" s="204">
        <v>1000</v>
      </c>
      <c r="F70" s="204">
        <v>1000</v>
      </c>
      <c r="G70" s="204">
        <v>1000</v>
      </c>
      <c r="H70" s="218">
        <f t="shared" si="10"/>
        <v>100</v>
      </c>
      <c r="I70" s="349">
        <f t="shared" si="8"/>
        <v>100</v>
      </c>
      <c r="J70" s="315">
        <f t="shared" si="9"/>
        <v>0.004728803139925285</v>
      </c>
    </row>
    <row r="71" spans="1:12" s="8" customFormat="1" ht="15.75" customHeight="1">
      <c r="A71" s="42" t="s">
        <v>41</v>
      </c>
      <c r="B71" s="49"/>
      <c r="C71" s="40">
        <v>412500</v>
      </c>
      <c r="D71" s="36" t="s">
        <v>265</v>
      </c>
      <c r="E71" s="204">
        <v>12000</v>
      </c>
      <c r="F71" s="204">
        <v>12000</v>
      </c>
      <c r="G71" s="204">
        <v>12000</v>
      </c>
      <c r="H71" s="218">
        <f t="shared" si="10"/>
        <v>100</v>
      </c>
      <c r="I71" s="349">
        <f t="shared" si="8"/>
        <v>100</v>
      </c>
      <c r="J71" s="315">
        <f t="shared" si="9"/>
        <v>0.056745637679103414</v>
      </c>
      <c r="K71" s="458"/>
      <c r="L71" s="469"/>
    </row>
    <row r="72" spans="1:10" ht="14.25" customHeight="1">
      <c r="A72" s="141" t="s">
        <v>41</v>
      </c>
      <c r="B72" s="35"/>
      <c r="C72" s="19">
        <v>412900</v>
      </c>
      <c r="D72" s="36" t="s">
        <v>266</v>
      </c>
      <c r="E72" s="204">
        <v>5000</v>
      </c>
      <c r="F72" s="204">
        <v>5000</v>
      </c>
      <c r="G72" s="204">
        <v>5000</v>
      </c>
      <c r="H72" s="218">
        <f t="shared" si="10"/>
        <v>100</v>
      </c>
      <c r="I72" s="349">
        <f t="shared" si="8"/>
        <v>100</v>
      </c>
      <c r="J72" s="315">
        <f t="shared" si="9"/>
        <v>0.023644015699626424</v>
      </c>
    </row>
    <row r="73" spans="1:10" ht="24" customHeight="1" hidden="1">
      <c r="A73" s="141" t="s">
        <v>41</v>
      </c>
      <c r="B73" s="35"/>
      <c r="C73" s="19">
        <v>412900</v>
      </c>
      <c r="D73" s="36" t="s">
        <v>276</v>
      </c>
      <c r="E73" s="189">
        <v>0</v>
      </c>
      <c r="F73" s="189"/>
      <c r="G73" s="189"/>
      <c r="H73" s="218" t="e">
        <f t="shared" si="10"/>
        <v>#DIV/0!</v>
      </c>
      <c r="I73" s="349">
        <f t="shared" si="8"/>
        <v>0</v>
      </c>
      <c r="J73" s="315">
        <f t="shared" si="9"/>
        <v>0</v>
      </c>
    </row>
    <row r="74" spans="1:10" ht="12.75" hidden="1">
      <c r="A74" s="141" t="s">
        <v>41</v>
      </c>
      <c r="B74" s="35"/>
      <c r="C74" s="19">
        <v>412900</v>
      </c>
      <c r="D74" s="36" t="s">
        <v>296</v>
      </c>
      <c r="E74" s="189">
        <v>0</v>
      </c>
      <c r="F74" s="189">
        <v>0</v>
      </c>
      <c r="G74" s="189">
        <v>0</v>
      </c>
      <c r="H74" s="218" t="e">
        <f t="shared" si="10"/>
        <v>#DIV/0!</v>
      </c>
      <c r="I74" s="349">
        <f t="shared" si="8"/>
        <v>0</v>
      </c>
      <c r="J74" s="315">
        <f t="shared" si="9"/>
        <v>0</v>
      </c>
    </row>
    <row r="75" spans="1:10" ht="27.75" customHeight="1">
      <c r="A75" s="578"/>
      <c r="B75" s="579"/>
      <c r="C75" s="590" t="s">
        <v>87</v>
      </c>
      <c r="D75" s="591"/>
      <c r="E75" s="392">
        <f>E63+E69</f>
        <v>65900</v>
      </c>
      <c r="F75" s="392">
        <f>F63+F69</f>
        <v>59900</v>
      </c>
      <c r="G75" s="392">
        <f>G63+G69</f>
        <v>44900</v>
      </c>
      <c r="H75" s="393">
        <f t="shared" si="10"/>
        <v>74.95826377295492</v>
      </c>
      <c r="I75" s="394">
        <f t="shared" si="8"/>
        <v>68.13353566009106</v>
      </c>
      <c r="J75" s="405">
        <f t="shared" si="9"/>
        <v>0.21232326098264528</v>
      </c>
    </row>
    <row r="76" spans="1:10" ht="9.75" customHeight="1">
      <c r="A76" s="578"/>
      <c r="B76" s="579"/>
      <c r="C76" s="584" t="s">
        <v>123</v>
      </c>
      <c r="D76" s="612"/>
      <c r="E76" s="397"/>
      <c r="F76" s="180"/>
      <c r="G76" s="180"/>
      <c r="H76" s="180"/>
      <c r="I76" s="416"/>
      <c r="J76" s="441"/>
    </row>
    <row r="77" spans="1:10" ht="9.75" customHeight="1">
      <c r="A77" s="578"/>
      <c r="B77" s="579"/>
      <c r="C77" s="584"/>
      <c r="D77" s="612"/>
      <c r="E77" s="398"/>
      <c r="F77" s="181"/>
      <c r="G77" s="181"/>
      <c r="H77" s="181"/>
      <c r="I77" s="396"/>
      <c r="J77" s="442"/>
    </row>
    <row r="78" spans="1:10" ht="19.5" customHeight="1">
      <c r="A78" s="578"/>
      <c r="B78" s="579"/>
      <c r="C78" s="584"/>
      <c r="D78" s="612"/>
      <c r="E78" s="399"/>
      <c r="F78" s="182"/>
      <c r="G78" s="182"/>
      <c r="H78" s="182"/>
      <c r="I78" s="400"/>
      <c r="J78" s="443"/>
    </row>
    <row r="79" spans="1:10" ht="18" customHeight="1">
      <c r="A79" s="141"/>
      <c r="B79" s="25">
        <v>411000</v>
      </c>
      <c r="C79" s="26"/>
      <c r="D79" s="28" t="s">
        <v>330</v>
      </c>
      <c r="E79" s="406">
        <f>SUM(E80:E83)</f>
        <v>3217600</v>
      </c>
      <c r="F79" s="406">
        <f>SUM(F80:F83)</f>
        <v>3118681</v>
      </c>
      <c r="G79" s="406">
        <f>SUM(G80:G83)</f>
        <v>2967500</v>
      </c>
      <c r="H79" s="415">
        <f>G79/F79*100</f>
        <v>95.1524057766729</v>
      </c>
      <c r="I79" s="407">
        <f aca="true" t="shared" si="11" ref="I79:I92">IF(E79&gt;0,G79/E79*100,0)</f>
        <v>92.2271258080557</v>
      </c>
      <c r="J79" s="408">
        <f aca="true" t="shared" si="12" ref="J79:J92">G79/$G$491*100</f>
        <v>14.032723317728282</v>
      </c>
    </row>
    <row r="80" spans="1:10" ht="12.75" customHeight="1">
      <c r="A80" s="141" t="s">
        <v>28</v>
      </c>
      <c r="B80" s="35"/>
      <c r="C80" s="19">
        <v>411100</v>
      </c>
      <c r="D80" s="29" t="s">
        <v>431</v>
      </c>
      <c r="E80" s="204">
        <v>2395000</v>
      </c>
      <c r="F80" s="204">
        <v>2505000</v>
      </c>
      <c r="G80" s="204">
        <v>2198000</v>
      </c>
      <c r="H80" s="218">
        <f aca="true" t="shared" si="13" ref="H80:H92">G80/F80*100</f>
        <v>87.7445109780439</v>
      </c>
      <c r="I80" s="349">
        <f t="shared" si="11"/>
        <v>91.77453027139875</v>
      </c>
      <c r="J80" s="315">
        <f t="shared" si="12"/>
        <v>10.393909301555777</v>
      </c>
    </row>
    <row r="81" spans="1:10" ht="26.25" customHeight="1">
      <c r="A81" s="141" t="s">
        <v>28</v>
      </c>
      <c r="B81" s="35"/>
      <c r="C81" s="19">
        <v>411200</v>
      </c>
      <c r="D81" s="29" t="s">
        <v>438</v>
      </c>
      <c r="E81" s="204">
        <v>587600</v>
      </c>
      <c r="F81" s="204">
        <v>566600</v>
      </c>
      <c r="G81" s="204">
        <v>535000</v>
      </c>
      <c r="H81" s="218">
        <f t="shared" si="13"/>
        <v>94.42287327920931</v>
      </c>
      <c r="I81" s="349">
        <f t="shared" si="11"/>
        <v>91.04833219877467</v>
      </c>
      <c r="J81" s="315">
        <f t="shared" si="12"/>
        <v>2.5299096798600273</v>
      </c>
    </row>
    <row r="82" spans="1:10" ht="13.5" customHeight="1">
      <c r="A82" s="141" t="s">
        <v>28</v>
      </c>
      <c r="B82" s="35"/>
      <c r="C82" s="19">
        <v>411300</v>
      </c>
      <c r="D82" s="29" t="s">
        <v>432</v>
      </c>
      <c r="E82" s="204">
        <v>65000</v>
      </c>
      <c r="F82" s="204">
        <v>27000</v>
      </c>
      <c r="G82" s="204">
        <v>30000</v>
      </c>
      <c r="H82" s="218">
        <f t="shared" si="13"/>
        <v>111.11111111111111</v>
      </c>
      <c r="I82" s="349">
        <f t="shared" si="11"/>
        <v>46.15384615384615</v>
      </c>
      <c r="J82" s="315">
        <f t="shared" si="12"/>
        <v>0.14186409419775856</v>
      </c>
    </row>
    <row r="83" spans="1:10" ht="12.75" customHeight="1">
      <c r="A83" s="141" t="s">
        <v>28</v>
      </c>
      <c r="B83" s="35"/>
      <c r="C83" s="19">
        <v>411400</v>
      </c>
      <c r="D83" s="31" t="s">
        <v>433</v>
      </c>
      <c r="E83" s="204">
        <v>170000</v>
      </c>
      <c r="F83" s="204">
        <v>20081</v>
      </c>
      <c r="G83" s="204">
        <v>204500</v>
      </c>
      <c r="H83" s="218">
        <f t="shared" si="13"/>
        <v>1018.3755789054329</v>
      </c>
      <c r="I83" s="349">
        <f t="shared" si="11"/>
        <v>120.29411764705881</v>
      </c>
      <c r="J83" s="315">
        <f t="shared" si="12"/>
        <v>0.9670402421147207</v>
      </c>
    </row>
    <row r="84" spans="1:10" ht="14.25" customHeight="1">
      <c r="A84" s="141"/>
      <c r="B84" s="25">
        <v>412000</v>
      </c>
      <c r="C84" s="19"/>
      <c r="D84" s="34" t="s">
        <v>145</v>
      </c>
      <c r="E84" s="193">
        <f>SUM(E85:E89)</f>
        <v>13000</v>
      </c>
      <c r="F84" s="193">
        <f>SUM(F85:F89)</f>
        <v>12800</v>
      </c>
      <c r="G84" s="193">
        <f>SUM(G85:G89)</f>
        <v>13000</v>
      </c>
      <c r="H84" s="193">
        <f t="shared" si="13"/>
        <v>101.5625</v>
      </c>
      <c r="I84" s="192">
        <f t="shared" si="11"/>
        <v>100</v>
      </c>
      <c r="J84" s="346">
        <f t="shared" si="12"/>
        <v>0.0614744408190287</v>
      </c>
    </row>
    <row r="85" spans="1:10" ht="12.75" customHeight="1">
      <c r="A85" s="141" t="s">
        <v>28</v>
      </c>
      <c r="B85" s="35"/>
      <c r="C85" s="19">
        <v>412700</v>
      </c>
      <c r="D85" s="35" t="s">
        <v>117</v>
      </c>
      <c r="E85" s="204">
        <v>3800</v>
      </c>
      <c r="F85" s="204">
        <v>3800</v>
      </c>
      <c r="G85" s="204">
        <v>3800</v>
      </c>
      <c r="H85" s="218">
        <f t="shared" si="13"/>
        <v>100</v>
      </c>
      <c r="I85" s="349">
        <f t="shared" si="11"/>
        <v>100</v>
      </c>
      <c r="J85" s="315">
        <f t="shared" si="12"/>
        <v>0.017969451931716084</v>
      </c>
    </row>
    <row r="86" spans="1:10" ht="12.75">
      <c r="A86" s="141" t="s">
        <v>28</v>
      </c>
      <c r="B86" s="35"/>
      <c r="C86" s="19">
        <v>412700</v>
      </c>
      <c r="D86" s="32" t="s">
        <v>171</v>
      </c>
      <c r="E86" s="204">
        <v>7300</v>
      </c>
      <c r="F86" s="204">
        <v>7300</v>
      </c>
      <c r="G86" s="204">
        <v>7300</v>
      </c>
      <c r="H86" s="218">
        <f t="shared" si="13"/>
        <v>100</v>
      </c>
      <c r="I86" s="349">
        <f t="shared" si="11"/>
        <v>100</v>
      </c>
      <c r="J86" s="315">
        <f t="shared" si="12"/>
        <v>0.034520262921454575</v>
      </c>
    </row>
    <row r="87" spans="1:10" ht="12.75" customHeight="1">
      <c r="A87" s="141" t="s">
        <v>28</v>
      </c>
      <c r="B87" s="35"/>
      <c r="C87" s="19">
        <v>412900</v>
      </c>
      <c r="D87" s="32" t="s">
        <v>0</v>
      </c>
      <c r="E87" s="204">
        <v>400</v>
      </c>
      <c r="F87" s="204">
        <v>400</v>
      </c>
      <c r="G87" s="204">
        <v>400</v>
      </c>
      <c r="H87" s="218">
        <f t="shared" si="13"/>
        <v>100</v>
      </c>
      <c r="I87" s="349">
        <f t="shared" si="11"/>
        <v>100</v>
      </c>
      <c r="J87" s="315">
        <f t="shared" si="12"/>
        <v>0.0018915212559701142</v>
      </c>
    </row>
    <row r="88" spans="1:10" ht="12.75" customHeight="1">
      <c r="A88" s="141" t="s">
        <v>28</v>
      </c>
      <c r="B88" s="35"/>
      <c r="C88" s="19">
        <v>412900</v>
      </c>
      <c r="D88" s="32" t="s">
        <v>170</v>
      </c>
      <c r="E88" s="204">
        <v>1500</v>
      </c>
      <c r="F88" s="204">
        <v>1300</v>
      </c>
      <c r="G88" s="204">
        <v>1500</v>
      </c>
      <c r="H88" s="218">
        <f t="shared" si="13"/>
        <v>115.38461538461537</v>
      </c>
      <c r="I88" s="349">
        <f t="shared" si="11"/>
        <v>100</v>
      </c>
      <c r="J88" s="315">
        <f t="shared" si="12"/>
        <v>0.007093204709887927</v>
      </c>
    </row>
    <row r="89" spans="1:10" ht="12.75" customHeight="1" hidden="1">
      <c r="A89" s="141" t="s">
        <v>28</v>
      </c>
      <c r="B89" s="35"/>
      <c r="C89" s="19">
        <v>412900</v>
      </c>
      <c r="D89" s="32" t="s">
        <v>338</v>
      </c>
      <c r="E89" s="72">
        <v>0</v>
      </c>
      <c r="F89" s="72"/>
      <c r="G89" s="72"/>
      <c r="H89" s="193" t="e">
        <f t="shared" si="13"/>
        <v>#DIV/0!</v>
      </c>
      <c r="I89" s="192">
        <f t="shared" si="11"/>
        <v>0</v>
      </c>
      <c r="J89" s="346">
        <f t="shared" si="12"/>
        <v>0</v>
      </c>
    </row>
    <row r="90" spans="1:10" ht="26.25" customHeight="1">
      <c r="A90" s="214"/>
      <c r="B90" s="25">
        <v>638000</v>
      </c>
      <c r="C90" s="19"/>
      <c r="D90" s="34" t="s">
        <v>434</v>
      </c>
      <c r="E90" s="67">
        <f>SUM(E91)</f>
        <v>50000</v>
      </c>
      <c r="F90" s="193">
        <f>SUM(F91)</f>
        <v>56000</v>
      </c>
      <c r="G90" s="193">
        <f>SUM(G91)</f>
        <v>65000</v>
      </c>
      <c r="H90" s="193">
        <f t="shared" si="13"/>
        <v>116.07142857142858</v>
      </c>
      <c r="I90" s="192">
        <f t="shared" si="11"/>
        <v>130</v>
      </c>
      <c r="J90" s="346">
        <f t="shared" si="12"/>
        <v>0.3073722040951435</v>
      </c>
    </row>
    <row r="91" spans="1:10" ht="35.25" customHeight="1">
      <c r="A91" s="141"/>
      <c r="B91" s="35"/>
      <c r="C91" s="19">
        <v>638100</v>
      </c>
      <c r="D91" s="32" t="s">
        <v>435</v>
      </c>
      <c r="E91" s="72">
        <v>50000</v>
      </c>
      <c r="F91" s="72">
        <v>56000</v>
      </c>
      <c r="G91" s="72">
        <v>65000</v>
      </c>
      <c r="H91" s="218">
        <f t="shared" si="13"/>
        <v>116.07142857142858</v>
      </c>
      <c r="I91" s="349">
        <f t="shared" si="11"/>
        <v>130</v>
      </c>
      <c r="J91" s="315">
        <f t="shared" si="12"/>
        <v>0.3073722040951435</v>
      </c>
    </row>
    <row r="92" spans="1:215" ht="30" customHeight="1">
      <c r="A92" s="578"/>
      <c r="B92" s="579"/>
      <c r="C92" s="590" t="s">
        <v>84</v>
      </c>
      <c r="D92" s="591"/>
      <c r="E92" s="73">
        <f>E79+E84+E90</f>
        <v>3280600</v>
      </c>
      <c r="F92" s="73">
        <f>F79+F84+F90</f>
        <v>3187481</v>
      </c>
      <c r="G92" s="73">
        <f>G79+G84+G90</f>
        <v>3045500</v>
      </c>
      <c r="H92" s="356">
        <f t="shared" si="13"/>
        <v>95.54566756633216</v>
      </c>
      <c r="I92" s="357">
        <f t="shared" si="11"/>
        <v>92.83362799487898</v>
      </c>
      <c r="J92" s="358">
        <f t="shared" si="12"/>
        <v>14.401569962642455</v>
      </c>
      <c r="K92" s="457"/>
      <c r="L92" s="467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</row>
    <row r="93" spans="1:215" s="105" customFormat="1" ht="9.75" customHeight="1">
      <c r="A93" s="580"/>
      <c r="B93" s="581"/>
      <c r="C93" s="584" t="s">
        <v>124</v>
      </c>
      <c r="D93" s="612"/>
      <c r="E93" s="397"/>
      <c r="F93" s="180"/>
      <c r="G93" s="180"/>
      <c r="H93" s="180"/>
      <c r="I93" s="416"/>
      <c r="J93" s="441"/>
      <c r="K93" s="457"/>
      <c r="L93" s="467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</row>
    <row r="94" spans="1:12" s="62" customFormat="1" ht="9.75" customHeight="1">
      <c r="A94" s="580"/>
      <c r="B94" s="581"/>
      <c r="C94" s="584"/>
      <c r="D94" s="612"/>
      <c r="E94" s="398"/>
      <c r="F94" s="181"/>
      <c r="G94" s="181"/>
      <c r="H94" s="181"/>
      <c r="I94" s="396"/>
      <c r="J94" s="442"/>
      <c r="K94" s="457"/>
      <c r="L94" s="467"/>
    </row>
    <row r="95" spans="1:12" s="62" customFormat="1" ht="9.75" customHeight="1">
      <c r="A95" s="580"/>
      <c r="B95" s="581"/>
      <c r="C95" s="584"/>
      <c r="D95" s="612"/>
      <c r="E95" s="398"/>
      <c r="F95" s="181"/>
      <c r="G95" s="181"/>
      <c r="H95" s="181"/>
      <c r="I95" s="396"/>
      <c r="J95" s="442"/>
      <c r="K95" s="457"/>
      <c r="L95" s="467"/>
    </row>
    <row r="96" spans="1:215" s="106" customFormat="1" ht="19.5" customHeight="1">
      <c r="A96" s="580"/>
      <c r="B96" s="581"/>
      <c r="C96" s="584"/>
      <c r="D96" s="612"/>
      <c r="E96" s="399"/>
      <c r="F96" s="182"/>
      <c r="G96" s="182"/>
      <c r="H96" s="182"/>
      <c r="I96" s="400"/>
      <c r="J96" s="443"/>
      <c r="K96" s="457"/>
      <c r="L96" s="467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</row>
    <row r="97" spans="1:215" ht="14.25" customHeight="1">
      <c r="A97" s="141"/>
      <c r="B97" s="25">
        <v>412000</v>
      </c>
      <c r="C97" s="19"/>
      <c r="D97" s="34" t="s">
        <v>145</v>
      </c>
      <c r="E97" s="415">
        <f>SUM(E98:E99)</f>
        <v>60400</v>
      </c>
      <c r="F97" s="415">
        <f>SUM(F98:F99)</f>
        <v>77950</v>
      </c>
      <c r="G97" s="415">
        <f>SUM(G98:G99)</f>
        <v>60400</v>
      </c>
      <c r="H97" s="415">
        <f>G97/F97*100</f>
        <v>77.48556767158435</v>
      </c>
      <c r="I97" s="407">
        <f aca="true" t="shared" si="14" ref="I97:I142">IF(E97&gt;0,G97/E97*100,0)</f>
        <v>100</v>
      </c>
      <c r="J97" s="408">
        <f aca="true" t="shared" si="15" ref="J97:J142">G97/$G$491*100</f>
        <v>0.2856197096514872</v>
      </c>
      <c r="K97" s="457"/>
      <c r="L97" s="467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</row>
    <row r="98" spans="1:10" ht="13.5" customHeight="1">
      <c r="A98" s="141" t="s">
        <v>28</v>
      </c>
      <c r="B98" s="33"/>
      <c r="C98" s="35">
        <v>412700</v>
      </c>
      <c r="D98" s="32" t="s">
        <v>106</v>
      </c>
      <c r="E98" s="204">
        <v>60000</v>
      </c>
      <c r="F98" s="204">
        <v>77550</v>
      </c>
      <c r="G98" s="204">
        <v>60000</v>
      </c>
      <c r="H98" s="218">
        <f aca="true" t="shared" si="16" ref="H98:H142">G98/F98*100</f>
        <v>77.36943907156673</v>
      </c>
      <c r="I98" s="349">
        <f t="shared" si="14"/>
        <v>100</v>
      </c>
      <c r="J98" s="315">
        <f t="shared" si="15"/>
        <v>0.2837281883955171</v>
      </c>
    </row>
    <row r="99" spans="1:10" ht="12.75" customHeight="1">
      <c r="A99" s="141" t="s">
        <v>28</v>
      </c>
      <c r="B99" s="35"/>
      <c r="C99" s="19">
        <v>412900</v>
      </c>
      <c r="D99" s="32" t="s">
        <v>29</v>
      </c>
      <c r="E99" s="204">
        <v>400</v>
      </c>
      <c r="F99" s="204">
        <v>400</v>
      </c>
      <c r="G99" s="204">
        <v>400</v>
      </c>
      <c r="H99" s="218">
        <f t="shared" si="16"/>
        <v>100</v>
      </c>
      <c r="I99" s="349">
        <f t="shared" si="14"/>
        <v>100</v>
      </c>
      <c r="J99" s="315">
        <f t="shared" si="15"/>
        <v>0.0018915212559701142</v>
      </c>
    </row>
    <row r="100" spans="1:10" ht="14.25" customHeight="1">
      <c r="A100" s="141"/>
      <c r="B100" s="25">
        <v>415000</v>
      </c>
      <c r="C100" s="35"/>
      <c r="D100" s="34" t="s">
        <v>159</v>
      </c>
      <c r="E100" s="268">
        <f>SUM(E101:E131)</f>
        <v>581000</v>
      </c>
      <c r="F100" s="268">
        <f>SUM(F101:F131)</f>
        <v>641969</v>
      </c>
      <c r="G100" s="268">
        <f>SUM(G101:G131)</f>
        <v>631000</v>
      </c>
      <c r="H100" s="193">
        <f t="shared" si="16"/>
        <v>98.29135051692526</v>
      </c>
      <c r="I100" s="192">
        <f t="shared" si="14"/>
        <v>108.60585197934596</v>
      </c>
      <c r="J100" s="346">
        <f t="shared" si="15"/>
        <v>2.9838747812928545</v>
      </c>
    </row>
    <row r="101" spans="1:10" ht="12.75" customHeight="1">
      <c r="A101" s="141" t="s">
        <v>32</v>
      </c>
      <c r="B101" s="35"/>
      <c r="C101" s="64">
        <v>415200</v>
      </c>
      <c r="D101" s="51" t="s">
        <v>233</v>
      </c>
      <c r="E101" s="289">
        <v>4000</v>
      </c>
      <c r="F101" s="289">
        <v>3250</v>
      </c>
      <c r="G101" s="289">
        <v>4000</v>
      </c>
      <c r="H101" s="218">
        <f t="shared" si="16"/>
        <v>123.07692307692308</v>
      </c>
      <c r="I101" s="349">
        <f t="shared" si="14"/>
        <v>100</v>
      </c>
      <c r="J101" s="315">
        <f t="shared" si="15"/>
        <v>0.01891521255970114</v>
      </c>
    </row>
    <row r="102" spans="1:10" ht="12.75" customHeight="1">
      <c r="A102" s="141" t="s">
        <v>34</v>
      </c>
      <c r="B102" s="35"/>
      <c r="C102" s="64">
        <v>415200</v>
      </c>
      <c r="D102" s="32" t="s">
        <v>35</v>
      </c>
      <c r="E102" s="289">
        <v>35000</v>
      </c>
      <c r="F102" s="289">
        <v>35000</v>
      </c>
      <c r="G102" s="289">
        <v>30000</v>
      </c>
      <c r="H102" s="218">
        <f t="shared" si="16"/>
        <v>85.71428571428571</v>
      </c>
      <c r="I102" s="349">
        <f t="shared" si="14"/>
        <v>85.71428571428571</v>
      </c>
      <c r="J102" s="315">
        <f t="shared" si="15"/>
        <v>0.14186409419775856</v>
      </c>
    </row>
    <row r="103" spans="1:10" ht="12.75" customHeight="1" hidden="1">
      <c r="A103" s="141" t="s">
        <v>34</v>
      </c>
      <c r="B103" s="35"/>
      <c r="C103" s="64">
        <v>415200</v>
      </c>
      <c r="D103" s="32" t="s">
        <v>388</v>
      </c>
      <c r="E103" s="289">
        <v>0</v>
      </c>
      <c r="F103" s="289">
        <v>0</v>
      </c>
      <c r="G103" s="289">
        <v>0</v>
      </c>
      <c r="H103" s="218" t="e">
        <f t="shared" si="16"/>
        <v>#DIV/0!</v>
      </c>
      <c r="I103" s="349">
        <f t="shared" si="14"/>
        <v>0</v>
      </c>
      <c r="J103" s="315">
        <f t="shared" si="15"/>
        <v>0</v>
      </c>
    </row>
    <row r="104" spans="1:10" ht="12.75" customHeight="1">
      <c r="A104" s="141" t="s">
        <v>36</v>
      </c>
      <c r="B104" s="35"/>
      <c r="C104" s="64">
        <v>415200</v>
      </c>
      <c r="D104" s="36" t="s">
        <v>297</v>
      </c>
      <c r="E104" s="289">
        <v>180000</v>
      </c>
      <c r="F104" s="289">
        <v>178000</v>
      </c>
      <c r="G104" s="289">
        <v>180000</v>
      </c>
      <c r="H104" s="218">
        <f t="shared" si="16"/>
        <v>101.12359550561798</v>
      </c>
      <c r="I104" s="349">
        <f t="shared" si="14"/>
        <v>100</v>
      </c>
      <c r="J104" s="315">
        <f t="shared" si="15"/>
        <v>0.8511845651865514</v>
      </c>
    </row>
    <row r="105" spans="1:10" ht="15" customHeight="1">
      <c r="A105" s="141" t="s">
        <v>36</v>
      </c>
      <c r="B105" s="35"/>
      <c r="C105" s="64">
        <v>415200</v>
      </c>
      <c r="D105" s="36" t="s">
        <v>298</v>
      </c>
      <c r="E105" s="289">
        <v>0</v>
      </c>
      <c r="F105" s="289">
        <v>18600</v>
      </c>
      <c r="G105" s="289">
        <v>0</v>
      </c>
      <c r="H105" s="218">
        <f t="shared" si="16"/>
        <v>0</v>
      </c>
      <c r="I105" s="349">
        <f t="shared" si="14"/>
        <v>0</v>
      </c>
      <c r="J105" s="315">
        <f t="shared" si="15"/>
        <v>0</v>
      </c>
    </row>
    <row r="106" spans="1:10" ht="15" customHeight="1">
      <c r="A106" s="141" t="s">
        <v>37</v>
      </c>
      <c r="B106" s="35"/>
      <c r="C106" s="64">
        <v>415200</v>
      </c>
      <c r="D106" s="32" t="s">
        <v>118</v>
      </c>
      <c r="E106" s="289">
        <v>15000</v>
      </c>
      <c r="F106" s="289">
        <v>14000</v>
      </c>
      <c r="G106" s="289">
        <v>15000</v>
      </c>
      <c r="H106" s="218">
        <f t="shared" si="16"/>
        <v>107.14285714285714</v>
      </c>
      <c r="I106" s="349">
        <f t="shared" si="14"/>
        <v>100</v>
      </c>
      <c r="J106" s="315">
        <f t="shared" si="15"/>
        <v>0.07093204709887928</v>
      </c>
    </row>
    <row r="107" spans="1:10" ht="25.5" customHeight="1">
      <c r="A107" s="141" t="s">
        <v>37</v>
      </c>
      <c r="B107" s="35"/>
      <c r="C107" s="64">
        <v>415200</v>
      </c>
      <c r="D107" s="32" t="s">
        <v>274</v>
      </c>
      <c r="E107" s="289">
        <v>0</v>
      </c>
      <c r="F107" s="289">
        <v>11650</v>
      </c>
      <c r="G107" s="289">
        <v>0</v>
      </c>
      <c r="H107" s="218">
        <f t="shared" si="16"/>
        <v>0</v>
      </c>
      <c r="I107" s="349">
        <f t="shared" si="14"/>
        <v>0</v>
      </c>
      <c r="J107" s="315">
        <f t="shared" si="15"/>
        <v>0</v>
      </c>
    </row>
    <row r="108" spans="1:10" ht="13.5" customHeight="1">
      <c r="A108" s="42" t="s">
        <v>34</v>
      </c>
      <c r="B108" s="35"/>
      <c r="C108" s="64">
        <v>415200</v>
      </c>
      <c r="D108" s="32" t="s">
        <v>460</v>
      </c>
      <c r="E108" s="289">
        <v>8000</v>
      </c>
      <c r="F108" s="289">
        <v>7200</v>
      </c>
      <c r="G108" s="289">
        <v>8000</v>
      </c>
      <c r="H108" s="218">
        <f t="shared" si="16"/>
        <v>111.11111111111111</v>
      </c>
      <c r="I108" s="349">
        <f t="shared" si="14"/>
        <v>100</v>
      </c>
      <c r="J108" s="315">
        <f t="shared" si="15"/>
        <v>0.03783042511940228</v>
      </c>
    </row>
    <row r="109" spans="1:10" ht="12.75">
      <c r="A109" s="42" t="s">
        <v>34</v>
      </c>
      <c r="B109" s="35"/>
      <c r="C109" s="64">
        <v>415200</v>
      </c>
      <c r="D109" s="32" t="s">
        <v>462</v>
      </c>
      <c r="E109" s="289">
        <v>4000</v>
      </c>
      <c r="F109" s="289">
        <v>3600</v>
      </c>
      <c r="G109" s="289">
        <v>4000</v>
      </c>
      <c r="H109" s="218">
        <f t="shared" si="16"/>
        <v>111.11111111111111</v>
      </c>
      <c r="I109" s="349">
        <f t="shared" si="14"/>
        <v>100</v>
      </c>
      <c r="J109" s="315">
        <f t="shared" si="15"/>
        <v>0.01891521255970114</v>
      </c>
    </row>
    <row r="110" spans="1:10" ht="13.5" customHeight="1">
      <c r="A110" s="42" t="s">
        <v>463</v>
      </c>
      <c r="B110" s="35"/>
      <c r="C110" s="64">
        <v>415200</v>
      </c>
      <c r="D110" s="32" t="s">
        <v>461</v>
      </c>
      <c r="E110" s="289">
        <v>6000</v>
      </c>
      <c r="F110" s="289">
        <v>5400</v>
      </c>
      <c r="G110" s="189">
        <v>6000</v>
      </c>
      <c r="H110" s="218">
        <f t="shared" si="16"/>
        <v>111.11111111111111</v>
      </c>
      <c r="I110" s="349">
        <f t="shared" si="14"/>
        <v>100</v>
      </c>
      <c r="J110" s="315">
        <f t="shared" si="15"/>
        <v>0.028372818839551707</v>
      </c>
    </row>
    <row r="111" spans="1:10" ht="12.75" customHeight="1">
      <c r="A111" s="141" t="s">
        <v>37</v>
      </c>
      <c r="B111" s="35"/>
      <c r="C111" s="64">
        <v>415200</v>
      </c>
      <c r="D111" s="32" t="s">
        <v>119</v>
      </c>
      <c r="E111" s="289">
        <v>20000</v>
      </c>
      <c r="F111" s="289">
        <v>18000</v>
      </c>
      <c r="G111" s="189">
        <v>20000</v>
      </c>
      <c r="H111" s="218">
        <f t="shared" si="16"/>
        <v>111.11111111111111</v>
      </c>
      <c r="I111" s="349">
        <f t="shared" si="14"/>
        <v>100</v>
      </c>
      <c r="J111" s="315">
        <f t="shared" si="15"/>
        <v>0.0945760627985057</v>
      </c>
    </row>
    <row r="112" spans="1:10" ht="12.75" hidden="1">
      <c r="A112" s="141" t="s">
        <v>37</v>
      </c>
      <c r="B112" s="35"/>
      <c r="C112" s="64">
        <v>415200</v>
      </c>
      <c r="D112" s="32" t="s">
        <v>273</v>
      </c>
      <c r="E112" s="289">
        <v>0</v>
      </c>
      <c r="F112" s="289">
        <v>0</v>
      </c>
      <c r="G112" s="189">
        <v>0</v>
      </c>
      <c r="H112" s="218" t="e">
        <f t="shared" si="16"/>
        <v>#DIV/0!</v>
      </c>
      <c r="I112" s="349">
        <f t="shared" si="14"/>
        <v>0</v>
      </c>
      <c r="J112" s="315">
        <f t="shared" si="15"/>
        <v>0</v>
      </c>
    </row>
    <row r="113" spans="1:10" ht="24">
      <c r="A113" s="141" t="s">
        <v>37</v>
      </c>
      <c r="B113" s="35"/>
      <c r="C113" s="64">
        <v>415200</v>
      </c>
      <c r="D113" s="32" t="s">
        <v>349</v>
      </c>
      <c r="E113" s="289">
        <v>10000</v>
      </c>
      <c r="F113" s="289">
        <v>10000</v>
      </c>
      <c r="G113" s="189">
        <v>10000</v>
      </c>
      <c r="H113" s="218">
        <f t="shared" si="16"/>
        <v>100</v>
      </c>
      <c r="I113" s="349">
        <f t="shared" si="14"/>
        <v>100</v>
      </c>
      <c r="J113" s="315">
        <f t="shared" si="15"/>
        <v>0.04728803139925285</v>
      </c>
    </row>
    <row r="114" spans="1:10" ht="24">
      <c r="A114" s="141" t="s">
        <v>37</v>
      </c>
      <c r="B114" s="35"/>
      <c r="C114" s="64">
        <v>415200</v>
      </c>
      <c r="D114" s="32" t="s">
        <v>552</v>
      </c>
      <c r="E114" s="289">
        <v>0</v>
      </c>
      <c r="F114" s="289">
        <v>5000</v>
      </c>
      <c r="G114" s="189">
        <v>0</v>
      </c>
      <c r="H114" s="218">
        <f t="shared" si="16"/>
        <v>0</v>
      </c>
      <c r="I114" s="349">
        <f t="shared" si="14"/>
        <v>0</v>
      </c>
      <c r="J114" s="315">
        <f t="shared" si="15"/>
        <v>0</v>
      </c>
    </row>
    <row r="115" spans="1:10" ht="12.75" customHeight="1">
      <c r="A115" s="141" t="s">
        <v>37</v>
      </c>
      <c r="B115" s="35"/>
      <c r="C115" s="64">
        <v>415200</v>
      </c>
      <c r="D115" s="32" t="s">
        <v>101</v>
      </c>
      <c r="E115" s="289">
        <v>30000</v>
      </c>
      <c r="F115" s="289">
        <v>27000</v>
      </c>
      <c r="G115" s="189">
        <v>30000</v>
      </c>
      <c r="H115" s="218">
        <f t="shared" si="16"/>
        <v>111.11111111111111</v>
      </c>
      <c r="I115" s="349">
        <f t="shared" si="14"/>
        <v>100</v>
      </c>
      <c r="J115" s="315">
        <f t="shared" si="15"/>
        <v>0.14186409419775856</v>
      </c>
    </row>
    <row r="116" spans="1:10" ht="12.75" customHeight="1">
      <c r="A116" s="141" t="s">
        <v>37</v>
      </c>
      <c r="B116" s="35"/>
      <c r="C116" s="64">
        <v>415200</v>
      </c>
      <c r="D116" s="32" t="s">
        <v>497</v>
      </c>
      <c r="E116" s="289">
        <v>0</v>
      </c>
      <c r="F116" s="289">
        <v>3000</v>
      </c>
      <c r="G116" s="189">
        <v>0</v>
      </c>
      <c r="H116" s="218">
        <f t="shared" si="16"/>
        <v>0</v>
      </c>
      <c r="I116" s="349">
        <f t="shared" si="14"/>
        <v>0</v>
      </c>
      <c r="J116" s="315">
        <f t="shared" si="15"/>
        <v>0</v>
      </c>
    </row>
    <row r="117" spans="1:10" ht="24.75" customHeight="1">
      <c r="A117" s="141" t="s">
        <v>37</v>
      </c>
      <c r="B117" s="35"/>
      <c r="C117" s="64">
        <v>415200</v>
      </c>
      <c r="D117" s="32" t="s">
        <v>98</v>
      </c>
      <c r="E117" s="289">
        <v>4000</v>
      </c>
      <c r="F117" s="289">
        <v>0</v>
      </c>
      <c r="G117" s="189">
        <v>4000</v>
      </c>
      <c r="H117" s="218" t="e">
        <f t="shared" si="16"/>
        <v>#DIV/0!</v>
      </c>
      <c r="I117" s="349">
        <f t="shared" si="14"/>
        <v>100</v>
      </c>
      <c r="J117" s="315">
        <f t="shared" si="15"/>
        <v>0.01891521255970114</v>
      </c>
    </row>
    <row r="118" spans="1:10" ht="24.75" customHeight="1">
      <c r="A118" s="141" t="s">
        <v>48</v>
      </c>
      <c r="B118" s="25"/>
      <c r="C118" s="64">
        <v>415200</v>
      </c>
      <c r="D118" s="46" t="s">
        <v>219</v>
      </c>
      <c r="E118" s="289">
        <v>40000</v>
      </c>
      <c r="F118" s="289">
        <v>36000</v>
      </c>
      <c r="G118" s="189">
        <v>50000</v>
      </c>
      <c r="H118" s="218">
        <f t="shared" si="16"/>
        <v>138.88888888888889</v>
      </c>
      <c r="I118" s="349">
        <f t="shared" si="14"/>
        <v>125</v>
      </c>
      <c r="J118" s="315">
        <f t="shared" si="15"/>
        <v>0.23644015699626425</v>
      </c>
    </row>
    <row r="119" spans="1:10" ht="24.75" customHeight="1">
      <c r="A119" s="141" t="s">
        <v>48</v>
      </c>
      <c r="B119" s="25"/>
      <c r="C119" s="64">
        <v>415200</v>
      </c>
      <c r="D119" s="36" t="s">
        <v>272</v>
      </c>
      <c r="E119" s="289">
        <v>0</v>
      </c>
      <c r="F119" s="289">
        <v>11350</v>
      </c>
      <c r="G119" s="189">
        <v>0</v>
      </c>
      <c r="H119" s="218">
        <f t="shared" si="16"/>
        <v>0</v>
      </c>
      <c r="I119" s="349">
        <f t="shared" si="14"/>
        <v>0</v>
      </c>
      <c r="J119" s="315">
        <f t="shared" si="15"/>
        <v>0</v>
      </c>
    </row>
    <row r="120" spans="1:10" ht="12.75">
      <c r="A120" s="141" t="s">
        <v>38</v>
      </c>
      <c r="B120" s="35"/>
      <c r="C120" s="19">
        <v>415200</v>
      </c>
      <c r="D120" s="32" t="s">
        <v>99</v>
      </c>
      <c r="E120" s="289">
        <v>25000</v>
      </c>
      <c r="F120" s="289">
        <v>44919</v>
      </c>
      <c r="G120" s="189">
        <v>100000</v>
      </c>
      <c r="H120" s="218">
        <f t="shared" si="16"/>
        <v>222.62294352055926</v>
      </c>
      <c r="I120" s="349">
        <f t="shared" si="14"/>
        <v>400</v>
      </c>
      <c r="J120" s="315">
        <f t="shared" si="15"/>
        <v>0.4728803139925285</v>
      </c>
    </row>
    <row r="121" spans="1:10" ht="12.75">
      <c r="A121" s="42" t="s">
        <v>212</v>
      </c>
      <c r="B121" s="49"/>
      <c r="C121" s="40">
        <v>415200</v>
      </c>
      <c r="D121" s="36" t="s">
        <v>220</v>
      </c>
      <c r="E121" s="289">
        <v>40000</v>
      </c>
      <c r="F121" s="289">
        <v>36000</v>
      </c>
      <c r="G121" s="189">
        <v>20000</v>
      </c>
      <c r="H121" s="218">
        <f t="shared" si="16"/>
        <v>55.55555555555556</v>
      </c>
      <c r="I121" s="349">
        <f t="shared" si="14"/>
        <v>50</v>
      </c>
      <c r="J121" s="315">
        <f t="shared" si="15"/>
        <v>0.0945760627985057</v>
      </c>
    </row>
    <row r="122" spans="1:10" ht="24" customHeight="1">
      <c r="A122" s="42" t="s">
        <v>34</v>
      </c>
      <c r="B122" s="49"/>
      <c r="C122" s="40">
        <v>415200</v>
      </c>
      <c r="D122" s="36" t="s">
        <v>248</v>
      </c>
      <c r="E122" s="289">
        <v>45000</v>
      </c>
      <c r="F122" s="289">
        <v>40500</v>
      </c>
      <c r="G122" s="189">
        <v>45000</v>
      </c>
      <c r="H122" s="218">
        <f t="shared" si="16"/>
        <v>111.11111111111111</v>
      </c>
      <c r="I122" s="349">
        <f t="shared" si="14"/>
        <v>100</v>
      </c>
      <c r="J122" s="315">
        <f t="shared" si="15"/>
        <v>0.21279614129663785</v>
      </c>
    </row>
    <row r="123" spans="1:10" ht="1.5" customHeight="1" hidden="1">
      <c r="A123" s="42" t="s">
        <v>34</v>
      </c>
      <c r="B123" s="49"/>
      <c r="C123" s="40">
        <v>415200</v>
      </c>
      <c r="D123" s="36" t="s">
        <v>389</v>
      </c>
      <c r="E123" s="289">
        <v>0</v>
      </c>
      <c r="F123" s="289">
        <v>0</v>
      </c>
      <c r="G123" s="189">
        <v>0</v>
      </c>
      <c r="H123" s="218" t="e">
        <f t="shared" si="16"/>
        <v>#DIV/0!</v>
      </c>
      <c r="I123" s="349">
        <f t="shared" si="14"/>
        <v>0</v>
      </c>
      <c r="J123" s="315">
        <f t="shared" si="15"/>
        <v>0</v>
      </c>
    </row>
    <row r="124" spans="1:10" ht="12.75" customHeight="1">
      <c r="A124" s="141" t="s">
        <v>39</v>
      </c>
      <c r="B124" s="35"/>
      <c r="C124" s="19">
        <v>415200</v>
      </c>
      <c r="D124" s="32" t="s">
        <v>100</v>
      </c>
      <c r="E124" s="289">
        <v>75000</v>
      </c>
      <c r="F124" s="289">
        <v>75000</v>
      </c>
      <c r="G124" s="189">
        <v>75000</v>
      </c>
      <c r="H124" s="218">
        <f t="shared" si="16"/>
        <v>100</v>
      </c>
      <c r="I124" s="349">
        <f t="shared" si="14"/>
        <v>100</v>
      </c>
      <c r="J124" s="315">
        <f t="shared" si="15"/>
        <v>0.3546602354943964</v>
      </c>
    </row>
    <row r="125" spans="1:10" ht="12.75" customHeight="1">
      <c r="A125" s="141" t="s">
        <v>39</v>
      </c>
      <c r="B125" s="35"/>
      <c r="C125" s="19">
        <v>415200</v>
      </c>
      <c r="D125" s="32" t="s">
        <v>271</v>
      </c>
      <c r="E125" s="289">
        <v>0</v>
      </c>
      <c r="F125" s="289">
        <v>1000</v>
      </c>
      <c r="G125" s="289">
        <v>0</v>
      </c>
      <c r="H125" s="218">
        <f t="shared" si="16"/>
        <v>0</v>
      </c>
      <c r="I125" s="349">
        <f t="shared" si="14"/>
        <v>0</v>
      </c>
      <c r="J125" s="315">
        <f t="shared" si="15"/>
        <v>0</v>
      </c>
    </row>
    <row r="126" spans="1:10" ht="39" customHeight="1">
      <c r="A126" s="141" t="s">
        <v>187</v>
      </c>
      <c r="B126" s="114"/>
      <c r="C126" s="19">
        <v>415200</v>
      </c>
      <c r="D126" s="45" t="s">
        <v>346</v>
      </c>
      <c r="E126" s="289">
        <v>20000</v>
      </c>
      <c r="F126" s="289">
        <v>22000</v>
      </c>
      <c r="G126" s="289">
        <v>10000</v>
      </c>
      <c r="H126" s="218">
        <f t="shared" si="16"/>
        <v>45.45454545454545</v>
      </c>
      <c r="I126" s="349">
        <f t="shared" si="14"/>
        <v>50</v>
      </c>
      <c r="J126" s="315">
        <f t="shared" si="15"/>
        <v>0.04728803139925285</v>
      </c>
    </row>
    <row r="127" spans="1:10" ht="38.25" customHeight="1" hidden="1">
      <c r="A127" s="141" t="s">
        <v>187</v>
      </c>
      <c r="B127" s="114"/>
      <c r="C127" s="19">
        <v>415200</v>
      </c>
      <c r="D127" s="45" t="s">
        <v>411</v>
      </c>
      <c r="E127" s="289">
        <v>0</v>
      </c>
      <c r="F127" s="289"/>
      <c r="G127" s="289"/>
      <c r="H127" s="218" t="e">
        <f t="shared" si="16"/>
        <v>#DIV/0!</v>
      </c>
      <c r="I127" s="349">
        <f t="shared" si="14"/>
        <v>0</v>
      </c>
      <c r="J127" s="315">
        <f t="shared" si="15"/>
        <v>0</v>
      </c>
    </row>
    <row r="128" spans="1:10" ht="24">
      <c r="A128" s="141" t="s">
        <v>37</v>
      </c>
      <c r="B128" s="114"/>
      <c r="C128" s="19">
        <v>415200</v>
      </c>
      <c r="D128" s="45" t="s">
        <v>299</v>
      </c>
      <c r="E128" s="289">
        <v>20000</v>
      </c>
      <c r="F128" s="289">
        <v>19200</v>
      </c>
      <c r="G128" s="289">
        <v>20000</v>
      </c>
      <c r="H128" s="218">
        <f t="shared" si="16"/>
        <v>104.16666666666667</v>
      </c>
      <c r="I128" s="349">
        <f t="shared" si="14"/>
        <v>100</v>
      </c>
      <c r="J128" s="315">
        <f t="shared" si="15"/>
        <v>0.0945760627985057</v>
      </c>
    </row>
    <row r="129" spans="1:10" ht="37.5" customHeight="1">
      <c r="A129" s="141" t="s">
        <v>37</v>
      </c>
      <c r="B129" s="114"/>
      <c r="C129" s="19">
        <v>415200</v>
      </c>
      <c r="D129" s="45" t="s">
        <v>472</v>
      </c>
      <c r="E129" s="289">
        <v>0</v>
      </c>
      <c r="F129" s="289">
        <v>16300</v>
      </c>
      <c r="G129" s="289">
        <v>0</v>
      </c>
      <c r="H129" s="218">
        <f t="shared" si="16"/>
        <v>0</v>
      </c>
      <c r="I129" s="349">
        <f t="shared" si="14"/>
        <v>0</v>
      </c>
      <c r="J129" s="315">
        <f t="shared" si="15"/>
        <v>0</v>
      </c>
    </row>
    <row r="130" spans="1:10" ht="23.25" customHeight="1" hidden="1">
      <c r="A130" s="141" t="s">
        <v>37</v>
      </c>
      <c r="B130" s="114"/>
      <c r="C130" s="19">
        <v>415200</v>
      </c>
      <c r="D130" s="45" t="s">
        <v>347</v>
      </c>
      <c r="E130" s="289">
        <v>0</v>
      </c>
      <c r="F130" s="289">
        <v>0</v>
      </c>
      <c r="G130" s="289">
        <v>0</v>
      </c>
      <c r="H130" s="218" t="e">
        <f t="shared" si="16"/>
        <v>#DIV/0!</v>
      </c>
      <c r="I130" s="349">
        <f t="shared" si="14"/>
        <v>0</v>
      </c>
      <c r="J130" s="315">
        <f t="shared" si="15"/>
        <v>0</v>
      </c>
    </row>
    <row r="131" spans="1:10" ht="36.75" customHeight="1" hidden="1">
      <c r="A131" s="141" t="s">
        <v>37</v>
      </c>
      <c r="B131" s="114"/>
      <c r="C131" s="19">
        <v>415200</v>
      </c>
      <c r="D131" s="45" t="s">
        <v>395</v>
      </c>
      <c r="E131" s="289">
        <v>0</v>
      </c>
      <c r="F131" s="289"/>
      <c r="G131" s="289"/>
      <c r="H131" s="193" t="e">
        <f t="shared" si="16"/>
        <v>#DIV/0!</v>
      </c>
      <c r="I131" s="192">
        <f t="shared" si="14"/>
        <v>0</v>
      </c>
      <c r="J131" s="346">
        <f t="shared" si="15"/>
        <v>0</v>
      </c>
    </row>
    <row r="132" spans="1:10" ht="14.25" customHeight="1">
      <c r="A132" s="141"/>
      <c r="B132" s="78">
        <v>416000</v>
      </c>
      <c r="C132" s="33"/>
      <c r="D132" s="61" t="s">
        <v>1</v>
      </c>
      <c r="E132" s="193">
        <f>SUM(E133:E137)</f>
        <v>338000</v>
      </c>
      <c r="F132" s="193">
        <f>SUM(F133:F137)</f>
        <v>365250</v>
      </c>
      <c r="G132" s="193">
        <f>SUM(G133:G137)</f>
        <v>350000</v>
      </c>
      <c r="H132" s="193">
        <f t="shared" si="16"/>
        <v>95.82477754962355</v>
      </c>
      <c r="I132" s="192">
        <f t="shared" si="14"/>
        <v>103.55029585798816</v>
      </c>
      <c r="J132" s="346">
        <f t="shared" si="15"/>
        <v>1.6550810989738498</v>
      </c>
    </row>
    <row r="133" spans="1:10" ht="12.75">
      <c r="A133" s="42" t="s">
        <v>176</v>
      </c>
      <c r="B133" s="35"/>
      <c r="C133" s="19">
        <v>416100</v>
      </c>
      <c r="D133" s="32" t="s">
        <v>206</v>
      </c>
      <c r="E133" s="189">
        <v>300000</v>
      </c>
      <c r="F133" s="189">
        <v>293800</v>
      </c>
      <c r="G133" s="189">
        <v>300000</v>
      </c>
      <c r="H133" s="218">
        <f t="shared" si="16"/>
        <v>102.11027910142954</v>
      </c>
      <c r="I133" s="349">
        <f t="shared" si="14"/>
        <v>100</v>
      </c>
      <c r="J133" s="315">
        <f t="shared" si="15"/>
        <v>1.4186409419775856</v>
      </c>
    </row>
    <row r="134" spans="1:10" ht="12.75">
      <c r="A134" s="42" t="s">
        <v>34</v>
      </c>
      <c r="B134" s="44"/>
      <c r="C134" s="19">
        <v>416100</v>
      </c>
      <c r="D134" s="45" t="s">
        <v>107</v>
      </c>
      <c r="E134" s="189">
        <v>15000</v>
      </c>
      <c r="F134" s="189">
        <v>15000</v>
      </c>
      <c r="G134" s="189">
        <v>15000</v>
      </c>
      <c r="H134" s="218">
        <f t="shared" si="16"/>
        <v>100</v>
      </c>
      <c r="I134" s="349">
        <f t="shared" si="14"/>
        <v>100</v>
      </c>
      <c r="J134" s="315">
        <f t="shared" si="15"/>
        <v>0.07093204709887928</v>
      </c>
    </row>
    <row r="135" spans="1:10" ht="12.75" customHeight="1">
      <c r="A135" s="42" t="s">
        <v>34</v>
      </c>
      <c r="B135" s="44"/>
      <c r="C135" s="19">
        <v>416100</v>
      </c>
      <c r="D135" s="45" t="s">
        <v>270</v>
      </c>
      <c r="E135" s="189">
        <v>0</v>
      </c>
      <c r="F135" s="189">
        <v>33450</v>
      </c>
      <c r="G135" s="189">
        <v>0</v>
      </c>
      <c r="H135" s="218">
        <f t="shared" si="16"/>
        <v>0</v>
      </c>
      <c r="I135" s="349">
        <f t="shared" si="14"/>
        <v>0</v>
      </c>
      <c r="J135" s="315">
        <f t="shared" si="15"/>
        <v>0</v>
      </c>
    </row>
    <row r="136" spans="1:10" ht="14.25" customHeight="1">
      <c r="A136" s="42" t="s">
        <v>186</v>
      </c>
      <c r="B136" s="44"/>
      <c r="C136" s="19">
        <v>416100</v>
      </c>
      <c r="D136" s="45" t="s">
        <v>202</v>
      </c>
      <c r="E136" s="204">
        <v>20000</v>
      </c>
      <c r="F136" s="204">
        <v>20000</v>
      </c>
      <c r="G136" s="204">
        <v>20000</v>
      </c>
      <c r="H136" s="218">
        <f t="shared" si="16"/>
        <v>100</v>
      </c>
      <c r="I136" s="349">
        <f t="shared" si="14"/>
        <v>100</v>
      </c>
      <c r="J136" s="315">
        <f t="shared" si="15"/>
        <v>0.0945760627985057</v>
      </c>
    </row>
    <row r="137" spans="1:10" ht="24" customHeight="1">
      <c r="A137" s="42" t="s">
        <v>186</v>
      </c>
      <c r="B137" s="44"/>
      <c r="C137" s="19">
        <v>416100</v>
      </c>
      <c r="D137" s="45" t="s">
        <v>305</v>
      </c>
      <c r="E137" s="72">
        <v>3000</v>
      </c>
      <c r="F137" s="72">
        <v>3000</v>
      </c>
      <c r="G137" s="72">
        <v>15000</v>
      </c>
      <c r="H137" s="218">
        <f t="shared" si="16"/>
        <v>500</v>
      </c>
      <c r="I137" s="349">
        <f t="shared" si="14"/>
        <v>500</v>
      </c>
      <c r="J137" s="315">
        <f t="shared" si="15"/>
        <v>0.07093204709887928</v>
      </c>
    </row>
    <row r="138" spans="1:10" ht="15" customHeight="1">
      <c r="A138" s="312"/>
      <c r="B138" s="78">
        <v>487000</v>
      </c>
      <c r="C138" s="19"/>
      <c r="D138" s="156" t="s">
        <v>456</v>
      </c>
      <c r="E138" s="67">
        <f>SUM(E139:E141)</f>
        <v>18000</v>
      </c>
      <c r="F138" s="67">
        <f>SUM(F139:F141)</f>
        <v>27345.5</v>
      </c>
      <c r="G138" s="67">
        <f>SUM(G139:G141)</f>
        <v>18000</v>
      </c>
      <c r="H138" s="193">
        <f t="shared" si="16"/>
        <v>65.82435866961657</v>
      </c>
      <c r="I138" s="192">
        <f t="shared" si="14"/>
        <v>100</v>
      </c>
      <c r="J138" s="346">
        <f t="shared" si="15"/>
        <v>0.08511845651865513</v>
      </c>
    </row>
    <row r="139" spans="1:10" ht="13.5" customHeight="1">
      <c r="A139" s="312" t="s">
        <v>32</v>
      </c>
      <c r="B139" s="78"/>
      <c r="C139" s="19">
        <v>487900</v>
      </c>
      <c r="D139" s="51" t="s">
        <v>172</v>
      </c>
      <c r="E139" s="189">
        <v>8000</v>
      </c>
      <c r="F139" s="189">
        <v>14000</v>
      </c>
      <c r="G139" s="189">
        <v>8000</v>
      </c>
      <c r="H139" s="218">
        <f t="shared" si="16"/>
        <v>57.14285714285714</v>
      </c>
      <c r="I139" s="349">
        <f t="shared" si="14"/>
        <v>100</v>
      </c>
      <c r="J139" s="315">
        <f t="shared" si="15"/>
        <v>0.03783042511940228</v>
      </c>
    </row>
    <row r="140" spans="1:10" ht="15" customHeight="1">
      <c r="A140" s="42" t="s">
        <v>32</v>
      </c>
      <c r="B140" s="44"/>
      <c r="C140" s="19">
        <v>487900</v>
      </c>
      <c r="D140" s="51" t="s">
        <v>275</v>
      </c>
      <c r="E140" s="189">
        <v>0</v>
      </c>
      <c r="F140" s="189">
        <v>3345.5</v>
      </c>
      <c r="G140" s="189">
        <v>0</v>
      </c>
      <c r="H140" s="218">
        <f t="shared" si="16"/>
        <v>0</v>
      </c>
      <c r="I140" s="349">
        <f t="shared" si="14"/>
        <v>0</v>
      </c>
      <c r="J140" s="315">
        <f t="shared" si="15"/>
        <v>0</v>
      </c>
    </row>
    <row r="141" spans="1:10" ht="12.75" customHeight="1">
      <c r="A141" s="141" t="s">
        <v>32</v>
      </c>
      <c r="B141" s="35"/>
      <c r="C141" s="64">
        <v>487900</v>
      </c>
      <c r="D141" s="51" t="s">
        <v>348</v>
      </c>
      <c r="E141" s="189">
        <v>10000</v>
      </c>
      <c r="F141" s="189">
        <v>10000</v>
      </c>
      <c r="G141" s="189">
        <v>10000</v>
      </c>
      <c r="H141" s="218">
        <f t="shared" si="16"/>
        <v>100</v>
      </c>
      <c r="I141" s="349">
        <f t="shared" si="14"/>
        <v>100</v>
      </c>
      <c r="J141" s="315">
        <f t="shared" si="15"/>
        <v>0.04728803139925285</v>
      </c>
    </row>
    <row r="142" spans="1:10" ht="30" customHeight="1">
      <c r="A142" s="578"/>
      <c r="B142" s="579"/>
      <c r="C142" s="590" t="s">
        <v>243</v>
      </c>
      <c r="D142" s="591"/>
      <c r="E142" s="392">
        <f>E97+E100+E132+E138</f>
        <v>997400</v>
      </c>
      <c r="F142" s="392">
        <f>F97+F100+F132+F138</f>
        <v>1112514.5</v>
      </c>
      <c r="G142" s="392">
        <f>G97+G100+G132+G138</f>
        <v>1059400</v>
      </c>
      <c r="H142" s="393">
        <f t="shared" si="16"/>
        <v>95.225725147852</v>
      </c>
      <c r="I142" s="394">
        <f t="shared" si="14"/>
        <v>106.21616202125526</v>
      </c>
      <c r="J142" s="405">
        <f t="shared" si="15"/>
        <v>5.009694046436847</v>
      </c>
    </row>
    <row r="143" spans="1:10" ht="9.75" customHeight="1">
      <c r="A143" s="578"/>
      <c r="B143" s="579"/>
      <c r="C143" s="584" t="s">
        <v>125</v>
      </c>
      <c r="D143" s="612"/>
      <c r="E143" s="397"/>
      <c r="F143" s="180"/>
      <c r="G143" s="180"/>
      <c r="H143" s="180"/>
      <c r="I143" s="416"/>
      <c r="J143" s="441"/>
    </row>
    <row r="144" spans="1:10" ht="9.75" customHeight="1">
      <c r="A144" s="578"/>
      <c r="B144" s="579"/>
      <c r="C144" s="584"/>
      <c r="D144" s="612"/>
      <c r="E144" s="398"/>
      <c r="F144" s="181"/>
      <c r="G144" s="181"/>
      <c r="H144" s="181"/>
      <c r="I144" s="396"/>
      <c r="J144" s="442"/>
    </row>
    <row r="145" spans="1:10" ht="19.5" customHeight="1">
      <c r="A145" s="578"/>
      <c r="B145" s="579"/>
      <c r="C145" s="584"/>
      <c r="D145" s="612"/>
      <c r="E145" s="399"/>
      <c r="F145" s="182"/>
      <c r="G145" s="182"/>
      <c r="H145" s="182"/>
      <c r="I145" s="400"/>
      <c r="J145" s="443"/>
    </row>
    <row r="146" spans="1:10" ht="14.25" customHeight="1">
      <c r="A146" s="141"/>
      <c r="B146" s="25">
        <v>412000</v>
      </c>
      <c r="C146" s="33"/>
      <c r="D146" s="34" t="s">
        <v>145</v>
      </c>
      <c r="E146" s="415">
        <f>SUM(E147:E150)</f>
        <v>83400</v>
      </c>
      <c r="F146" s="415">
        <f>SUM(F147:F150)</f>
        <v>70900</v>
      </c>
      <c r="G146" s="415">
        <f>SUM(G147:G150)</f>
        <v>90400</v>
      </c>
      <c r="H146" s="415">
        <f aca="true" t="shared" si="17" ref="H146:H151">G146/F146*100</f>
        <v>127.50352609308887</v>
      </c>
      <c r="I146" s="407">
        <f aca="true" t="shared" si="18" ref="I146:I151">IF(E146&gt;0,G146/E146*100,0)</f>
        <v>108.39328537170263</v>
      </c>
      <c r="J146" s="408">
        <f aca="true" t="shared" si="19" ref="J146:J151">G146/$G$491*100</f>
        <v>0.4274838038492458</v>
      </c>
    </row>
    <row r="147" spans="1:10" ht="24.75" customHeight="1">
      <c r="A147" s="141" t="s">
        <v>40</v>
      </c>
      <c r="B147" s="25"/>
      <c r="C147" s="19">
        <v>412700</v>
      </c>
      <c r="D147" s="32" t="s">
        <v>193</v>
      </c>
      <c r="E147" s="204">
        <v>18000</v>
      </c>
      <c r="F147" s="204">
        <v>12000</v>
      </c>
      <c r="G147" s="204">
        <v>20000</v>
      </c>
      <c r="H147" s="218">
        <f t="shared" si="17"/>
        <v>166.66666666666669</v>
      </c>
      <c r="I147" s="349">
        <f t="shared" si="18"/>
        <v>111.11111111111111</v>
      </c>
      <c r="J147" s="315">
        <f t="shared" si="19"/>
        <v>0.0945760627985057</v>
      </c>
    </row>
    <row r="148" spans="1:10" ht="25.5" customHeight="1">
      <c r="A148" s="141" t="s">
        <v>40</v>
      </c>
      <c r="B148" s="25"/>
      <c r="C148" s="19">
        <v>412700</v>
      </c>
      <c r="D148" s="32" t="s">
        <v>109</v>
      </c>
      <c r="E148" s="204">
        <v>50000</v>
      </c>
      <c r="F148" s="204">
        <v>31500</v>
      </c>
      <c r="G148" s="204">
        <v>50000</v>
      </c>
      <c r="H148" s="218">
        <f t="shared" si="17"/>
        <v>158.73015873015873</v>
      </c>
      <c r="I148" s="349">
        <f t="shared" si="18"/>
        <v>100</v>
      </c>
      <c r="J148" s="315">
        <f t="shared" si="19"/>
        <v>0.23644015699626425</v>
      </c>
    </row>
    <row r="149" spans="1:10" ht="12.75">
      <c r="A149" s="141" t="s">
        <v>28</v>
      </c>
      <c r="B149" s="35"/>
      <c r="C149" s="19">
        <v>412900</v>
      </c>
      <c r="D149" s="32" t="s">
        <v>29</v>
      </c>
      <c r="E149" s="204">
        <v>400</v>
      </c>
      <c r="F149" s="204">
        <v>400</v>
      </c>
      <c r="G149" s="204">
        <v>400</v>
      </c>
      <c r="H149" s="218">
        <f t="shared" si="17"/>
        <v>100</v>
      </c>
      <c r="I149" s="349">
        <f t="shared" si="18"/>
        <v>100</v>
      </c>
      <c r="J149" s="315">
        <f t="shared" si="19"/>
        <v>0.0018915212559701142</v>
      </c>
    </row>
    <row r="150" spans="1:10" ht="24" customHeight="1">
      <c r="A150" s="141" t="s">
        <v>28</v>
      </c>
      <c r="B150" s="35"/>
      <c r="C150" s="19">
        <v>412900</v>
      </c>
      <c r="D150" s="32" t="s">
        <v>108</v>
      </c>
      <c r="E150" s="204">
        <v>15000</v>
      </c>
      <c r="F150" s="204">
        <v>27000</v>
      </c>
      <c r="G150" s="204">
        <v>20000</v>
      </c>
      <c r="H150" s="218">
        <f t="shared" si="17"/>
        <v>74.07407407407408</v>
      </c>
      <c r="I150" s="349">
        <f t="shared" si="18"/>
        <v>133.33333333333331</v>
      </c>
      <c r="J150" s="315">
        <f t="shared" si="19"/>
        <v>0.0945760627985057</v>
      </c>
    </row>
    <row r="151" spans="1:10" ht="30" customHeight="1">
      <c r="A151" s="578"/>
      <c r="B151" s="579"/>
      <c r="C151" s="590" t="s">
        <v>249</v>
      </c>
      <c r="D151" s="591"/>
      <c r="E151" s="392">
        <f>E146</f>
        <v>83400</v>
      </c>
      <c r="F151" s="392">
        <f>F146</f>
        <v>70900</v>
      </c>
      <c r="G151" s="392">
        <f>G146</f>
        <v>90400</v>
      </c>
      <c r="H151" s="393">
        <f t="shared" si="17"/>
        <v>127.50352609308887</v>
      </c>
      <c r="I151" s="394">
        <f t="shared" si="18"/>
        <v>108.39328537170263</v>
      </c>
      <c r="J151" s="405">
        <f t="shared" si="19"/>
        <v>0.4274838038492458</v>
      </c>
    </row>
    <row r="152" spans="1:10" ht="9.75" customHeight="1">
      <c r="A152" s="578"/>
      <c r="B152" s="579"/>
      <c r="C152" s="584" t="s">
        <v>126</v>
      </c>
      <c r="D152" s="612"/>
      <c r="E152" s="397"/>
      <c r="F152" s="180"/>
      <c r="G152" s="180"/>
      <c r="H152" s="180"/>
      <c r="I152" s="416"/>
      <c r="J152" s="441"/>
    </row>
    <row r="153" spans="1:10" ht="9.75" customHeight="1">
      <c r="A153" s="578"/>
      <c r="B153" s="579"/>
      <c r="C153" s="584"/>
      <c r="D153" s="612"/>
      <c r="E153" s="398"/>
      <c r="F153" s="181"/>
      <c r="G153" s="181"/>
      <c r="H153" s="181"/>
      <c r="I153" s="396"/>
      <c r="J153" s="442"/>
    </row>
    <row r="154" spans="1:10" ht="9.75" customHeight="1">
      <c r="A154" s="578"/>
      <c r="B154" s="579"/>
      <c r="C154" s="584"/>
      <c r="D154" s="612"/>
      <c r="E154" s="398"/>
      <c r="F154" s="181"/>
      <c r="G154" s="181"/>
      <c r="H154" s="181"/>
      <c r="I154" s="396"/>
      <c r="J154" s="442"/>
    </row>
    <row r="155" spans="1:10" ht="19.5" customHeight="1">
      <c r="A155" s="578"/>
      <c r="B155" s="579"/>
      <c r="C155" s="584"/>
      <c r="D155" s="612"/>
      <c r="E155" s="399"/>
      <c r="F155" s="182"/>
      <c r="G155" s="182"/>
      <c r="H155" s="182"/>
      <c r="I155" s="400"/>
      <c r="J155" s="443"/>
    </row>
    <row r="156" spans="1:10" ht="14.25" customHeight="1">
      <c r="A156" s="141"/>
      <c r="B156" s="25">
        <v>412000</v>
      </c>
      <c r="C156" s="38"/>
      <c r="D156" s="34" t="s">
        <v>145</v>
      </c>
      <c r="E156" s="415">
        <f>SUM(E157:E162)</f>
        <v>171600</v>
      </c>
      <c r="F156" s="415">
        <f>SUM(F157:F162)</f>
        <v>145460</v>
      </c>
      <c r="G156" s="415">
        <f>SUM(G157:G162)</f>
        <v>119600</v>
      </c>
      <c r="H156" s="415">
        <f>G156/F156*100</f>
        <v>82.22191667812457</v>
      </c>
      <c r="I156" s="407">
        <f aca="true" t="shared" si="20" ref="I156:I192">IF(E156&gt;0,G156/E156*100,0)</f>
        <v>69.6969696969697</v>
      </c>
      <c r="J156" s="408">
        <f aca="true" t="shared" si="21" ref="J156:J192">G156/$G$491*100</f>
        <v>0.5655648555350641</v>
      </c>
    </row>
    <row r="157" spans="1:10" ht="25.5" customHeight="1">
      <c r="A157" s="141" t="s">
        <v>32</v>
      </c>
      <c r="B157" s="25"/>
      <c r="C157" s="19">
        <v>412100</v>
      </c>
      <c r="D157" s="32" t="s">
        <v>459</v>
      </c>
      <c r="E157" s="204">
        <v>42000</v>
      </c>
      <c r="F157" s="204">
        <v>31590</v>
      </c>
      <c r="G157" s="204">
        <v>0</v>
      </c>
      <c r="H157" s="218">
        <f aca="true" t="shared" si="22" ref="H157:H192">G157/F157*100</f>
        <v>0</v>
      </c>
      <c r="I157" s="349">
        <f t="shared" si="20"/>
        <v>0</v>
      </c>
      <c r="J157" s="315">
        <f t="shared" si="21"/>
        <v>0</v>
      </c>
    </row>
    <row r="158" spans="1:10" ht="14.25" customHeight="1">
      <c r="A158" s="141" t="s">
        <v>28</v>
      </c>
      <c r="B158" s="25"/>
      <c r="C158" s="19">
        <v>412100</v>
      </c>
      <c r="D158" s="32" t="s">
        <v>278</v>
      </c>
      <c r="E158" s="204">
        <v>40000</v>
      </c>
      <c r="F158" s="204">
        <v>30510</v>
      </c>
      <c r="G158" s="189">
        <v>30000</v>
      </c>
      <c r="H158" s="218">
        <f t="shared" si="22"/>
        <v>98.32841691248771</v>
      </c>
      <c r="I158" s="349">
        <f t="shared" si="20"/>
        <v>75</v>
      </c>
      <c r="J158" s="315">
        <f t="shared" si="21"/>
        <v>0.14186409419775856</v>
      </c>
    </row>
    <row r="159" spans="1:10" ht="14.25" customHeight="1">
      <c r="A159" s="141" t="s">
        <v>28</v>
      </c>
      <c r="B159" s="25"/>
      <c r="C159" s="19">
        <v>412200</v>
      </c>
      <c r="D159" s="32" t="s">
        <v>279</v>
      </c>
      <c r="E159" s="189">
        <v>12000</v>
      </c>
      <c r="F159" s="189">
        <v>11820</v>
      </c>
      <c r="G159" s="189">
        <v>12000</v>
      </c>
      <c r="H159" s="218">
        <f t="shared" si="22"/>
        <v>101.5228426395939</v>
      </c>
      <c r="I159" s="349">
        <f t="shared" si="20"/>
        <v>100</v>
      </c>
      <c r="J159" s="315">
        <f t="shared" si="21"/>
        <v>0.056745637679103414</v>
      </c>
    </row>
    <row r="160" spans="1:10" ht="12.75" customHeight="1">
      <c r="A160" s="42" t="s">
        <v>28</v>
      </c>
      <c r="B160" s="35"/>
      <c r="C160" s="49">
        <v>412700</v>
      </c>
      <c r="D160" s="36" t="s">
        <v>194</v>
      </c>
      <c r="E160" s="189">
        <v>7000</v>
      </c>
      <c r="F160" s="189">
        <v>7000</v>
      </c>
      <c r="G160" s="189">
        <v>7000</v>
      </c>
      <c r="H160" s="218">
        <f t="shared" si="22"/>
        <v>100</v>
      </c>
      <c r="I160" s="349">
        <f t="shared" si="20"/>
        <v>100</v>
      </c>
      <c r="J160" s="315">
        <f t="shared" si="21"/>
        <v>0.033101621979477</v>
      </c>
    </row>
    <row r="161" spans="1:11" ht="23.25" customHeight="1">
      <c r="A161" s="141" t="s">
        <v>28</v>
      </c>
      <c r="B161" s="35"/>
      <c r="C161" s="19">
        <v>412900</v>
      </c>
      <c r="D161" s="32" t="s">
        <v>280</v>
      </c>
      <c r="E161" s="189">
        <v>70000</v>
      </c>
      <c r="F161" s="189">
        <v>63950</v>
      </c>
      <c r="G161" s="189">
        <v>70000</v>
      </c>
      <c r="H161" s="218">
        <f t="shared" si="22"/>
        <v>109.460516028147</v>
      </c>
      <c r="I161" s="349">
        <f t="shared" si="20"/>
        <v>100</v>
      </c>
      <c r="J161" s="315">
        <f t="shared" si="21"/>
        <v>0.33101621979477</v>
      </c>
      <c r="K161" s="459"/>
    </row>
    <row r="162" spans="1:12" ht="12.75" customHeight="1">
      <c r="A162" s="141" t="s">
        <v>28</v>
      </c>
      <c r="B162" s="35"/>
      <c r="C162" s="19">
        <v>412900</v>
      </c>
      <c r="D162" s="32" t="s">
        <v>0</v>
      </c>
      <c r="E162" s="204">
        <v>600</v>
      </c>
      <c r="F162" s="204">
        <v>590</v>
      </c>
      <c r="G162" s="204">
        <v>600</v>
      </c>
      <c r="H162" s="218">
        <f t="shared" si="22"/>
        <v>101.69491525423729</v>
      </c>
      <c r="I162" s="349">
        <f t="shared" si="20"/>
        <v>100</v>
      </c>
      <c r="J162" s="315">
        <f t="shared" si="21"/>
        <v>0.002837281883955171</v>
      </c>
      <c r="L162" s="469"/>
    </row>
    <row r="163" spans="1:10" ht="19.5" customHeight="1">
      <c r="A163" s="141"/>
      <c r="B163" s="25"/>
      <c r="C163" s="19"/>
      <c r="D163" s="34" t="s">
        <v>216</v>
      </c>
      <c r="E163" s="193">
        <f>SUM(E164:E172)</f>
        <v>520000</v>
      </c>
      <c r="F163" s="193">
        <f>SUM(F164:F172)</f>
        <v>629850.99</v>
      </c>
      <c r="G163" s="193">
        <f>SUM(G164:G172)</f>
        <v>570000</v>
      </c>
      <c r="H163" s="193">
        <f t="shared" si="22"/>
        <v>90.49759531218646</v>
      </c>
      <c r="I163" s="192">
        <f t="shared" si="20"/>
        <v>109.61538461538463</v>
      </c>
      <c r="J163" s="346">
        <f t="shared" si="21"/>
        <v>2.6954177897574128</v>
      </c>
    </row>
    <row r="164" spans="1:10" ht="61.5" customHeight="1">
      <c r="A164" s="42" t="s">
        <v>42</v>
      </c>
      <c r="B164" s="35"/>
      <c r="C164" s="40">
        <v>412800</v>
      </c>
      <c r="D164" s="36" t="s">
        <v>238</v>
      </c>
      <c r="E164" s="204">
        <v>140000</v>
      </c>
      <c r="F164" s="204">
        <v>140000</v>
      </c>
      <c r="G164" s="204">
        <v>140000</v>
      </c>
      <c r="H164" s="218">
        <f t="shared" si="22"/>
        <v>100</v>
      </c>
      <c r="I164" s="349">
        <f t="shared" si="20"/>
        <v>100</v>
      </c>
      <c r="J164" s="315">
        <f t="shared" si="21"/>
        <v>0.66203243958954</v>
      </c>
    </row>
    <row r="165" spans="1:10" ht="37.5" customHeight="1">
      <c r="A165" s="42" t="s">
        <v>42</v>
      </c>
      <c r="B165" s="35"/>
      <c r="C165" s="40">
        <v>412800</v>
      </c>
      <c r="D165" s="36" t="s">
        <v>239</v>
      </c>
      <c r="E165" s="204">
        <v>30000</v>
      </c>
      <c r="F165" s="204">
        <v>30500</v>
      </c>
      <c r="G165" s="189">
        <v>75000</v>
      </c>
      <c r="H165" s="218">
        <f t="shared" si="22"/>
        <v>245.9016393442623</v>
      </c>
      <c r="I165" s="349">
        <f t="shared" si="20"/>
        <v>250</v>
      </c>
      <c r="J165" s="315">
        <f t="shared" si="21"/>
        <v>0.3546602354943964</v>
      </c>
    </row>
    <row r="166" spans="1:10" ht="12.75">
      <c r="A166" s="42" t="s">
        <v>42</v>
      </c>
      <c r="B166" s="35"/>
      <c r="C166" s="40">
        <v>412800</v>
      </c>
      <c r="D166" s="36" t="s">
        <v>110</v>
      </c>
      <c r="E166" s="204">
        <v>160000</v>
      </c>
      <c r="F166" s="204">
        <v>235000</v>
      </c>
      <c r="G166" s="204">
        <v>160000</v>
      </c>
      <c r="H166" s="218">
        <f t="shared" si="22"/>
        <v>68.08510638297872</v>
      </c>
      <c r="I166" s="349">
        <f t="shared" si="20"/>
        <v>100</v>
      </c>
      <c r="J166" s="315">
        <f t="shared" si="21"/>
        <v>0.7566085023880456</v>
      </c>
    </row>
    <row r="167" spans="1:10" ht="24.75" customHeight="1">
      <c r="A167" s="42" t="s">
        <v>42</v>
      </c>
      <c r="B167" s="35"/>
      <c r="C167" s="40">
        <v>412800</v>
      </c>
      <c r="D167" s="36" t="s">
        <v>130</v>
      </c>
      <c r="E167" s="204">
        <v>120000</v>
      </c>
      <c r="F167" s="204">
        <v>152000</v>
      </c>
      <c r="G167" s="204">
        <v>130000</v>
      </c>
      <c r="H167" s="218">
        <f t="shared" si="22"/>
        <v>85.52631578947368</v>
      </c>
      <c r="I167" s="349">
        <f t="shared" si="20"/>
        <v>108.33333333333333</v>
      </c>
      <c r="J167" s="315">
        <f t="shared" si="21"/>
        <v>0.614744408190287</v>
      </c>
    </row>
    <row r="168" spans="1:10" ht="24.75" customHeight="1">
      <c r="A168" s="42" t="s">
        <v>42</v>
      </c>
      <c r="B168" s="35"/>
      <c r="C168" s="40">
        <v>412800</v>
      </c>
      <c r="D168" s="36" t="s">
        <v>300</v>
      </c>
      <c r="E168" s="189">
        <v>25000</v>
      </c>
      <c r="F168" s="189">
        <v>43000</v>
      </c>
      <c r="G168" s="189">
        <v>25000</v>
      </c>
      <c r="H168" s="218">
        <f t="shared" si="22"/>
        <v>58.139534883720934</v>
      </c>
      <c r="I168" s="349">
        <f t="shared" si="20"/>
        <v>100</v>
      </c>
      <c r="J168" s="315">
        <f t="shared" si="21"/>
        <v>0.11822007849813213</v>
      </c>
    </row>
    <row r="169" spans="1:10" ht="12.75">
      <c r="A169" s="42" t="s">
        <v>42</v>
      </c>
      <c r="B169" s="35"/>
      <c r="C169" s="35">
        <v>412800</v>
      </c>
      <c r="D169" s="46" t="s">
        <v>208</v>
      </c>
      <c r="E169" s="189">
        <v>5000</v>
      </c>
      <c r="F169" s="189">
        <v>5000</v>
      </c>
      <c r="G169" s="189">
        <v>5000</v>
      </c>
      <c r="H169" s="218">
        <f t="shared" si="22"/>
        <v>100</v>
      </c>
      <c r="I169" s="349">
        <f t="shared" si="20"/>
        <v>100</v>
      </c>
      <c r="J169" s="315">
        <f t="shared" si="21"/>
        <v>0.023644015699626424</v>
      </c>
    </row>
    <row r="170" spans="1:10" ht="12.75">
      <c r="A170" s="42" t="s">
        <v>42</v>
      </c>
      <c r="B170" s="35"/>
      <c r="C170" s="40">
        <v>412800</v>
      </c>
      <c r="D170" s="36" t="s">
        <v>43</v>
      </c>
      <c r="E170" s="189">
        <v>20000</v>
      </c>
      <c r="F170" s="189">
        <v>5700.99</v>
      </c>
      <c r="G170" s="189">
        <v>20000</v>
      </c>
      <c r="H170" s="218">
        <f t="shared" si="22"/>
        <v>350.8162617369966</v>
      </c>
      <c r="I170" s="349">
        <f t="shared" si="20"/>
        <v>100</v>
      </c>
      <c r="J170" s="315">
        <f t="shared" si="21"/>
        <v>0.0945760627985057</v>
      </c>
    </row>
    <row r="171" spans="1:10" ht="12.75" hidden="1">
      <c r="A171" s="42" t="s">
        <v>42</v>
      </c>
      <c r="B171" s="35"/>
      <c r="C171" s="40">
        <v>412800</v>
      </c>
      <c r="D171" s="36" t="s">
        <v>372</v>
      </c>
      <c r="E171" s="190">
        <v>0</v>
      </c>
      <c r="F171" s="190"/>
      <c r="G171" s="189"/>
      <c r="H171" s="218" t="e">
        <f t="shared" si="22"/>
        <v>#DIV/0!</v>
      </c>
      <c r="I171" s="349">
        <f t="shared" si="20"/>
        <v>0</v>
      </c>
      <c r="J171" s="315">
        <f t="shared" si="21"/>
        <v>0</v>
      </c>
    </row>
    <row r="172" spans="1:10" ht="25.5" customHeight="1">
      <c r="A172" s="42" t="s">
        <v>42</v>
      </c>
      <c r="B172" s="35"/>
      <c r="C172" s="40">
        <v>412900</v>
      </c>
      <c r="D172" s="36" t="s">
        <v>140</v>
      </c>
      <c r="E172" s="190">
        <v>20000</v>
      </c>
      <c r="F172" s="190">
        <v>18650</v>
      </c>
      <c r="G172" s="189">
        <v>15000</v>
      </c>
      <c r="H172" s="218">
        <f t="shared" si="22"/>
        <v>80.42895442359249</v>
      </c>
      <c r="I172" s="349">
        <f t="shared" si="20"/>
        <v>75</v>
      </c>
      <c r="J172" s="315">
        <f t="shared" si="21"/>
        <v>0.07093204709887928</v>
      </c>
    </row>
    <row r="173" spans="1:10" ht="16.5" customHeight="1">
      <c r="A173" s="141"/>
      <c r="B173" s="35"/>
      <c r="C173" s="47"/>
      <c r="D173" s="48" t="s">
        <v>44</v>
      </c>
      <c r="E173" s="193">
        <f>SUM(E174:E179)</f>
        <v>275000</v>
      </c>
      <c r="F173" s="193">
        <f>SUM(F174:F179)</f>
        <v>242149.01</v>
      </c>
      <c r="G173" s="193">
        <f>SUM(G174:G179)</f>
        <v>282000</v>
      </c>
      <c r="H173" s="193">
        <f t="shared" si="22"/>
        <v>116.45721780981057</v>
      </c>
      <c r="I173" s="192">
        <f t="shared" si="20"/>
        <v>102.54545454545453</v>
      </c>
      <c r="J173" s="346">
        <f t="shared" si="21"/>
        <v>1.3335224854589303</v>
      </c>
    </row>
    <row r="174" spans="1:10" ht="24.75" customHeight="1">
      <c r="A174" s="141" t="s">
        <v>45</v>
      </c>
      <c r="B174" s="35"/>
      <c r="C174" s="40">
        <v>412500</v>
      </c>
      <c r="D174" s="36" t="s">
        <v>198</v>
      </c>
      <c r="E174" s="204">
        <v>120000</v>
      </c>
      <c r="F174" s="204">
        <v>138000</v>
      </c>
      <c r="G174" s="204">
        <v>150000</v>
      </c>
      <c r="H174" s="218">
        <f t="shared" si="22"/>
        <v>108.69565217391303</v>
      </c>
      <c r="I174" s="349">
        <f t="shared" si="20"/>
        <v>125</v>
      </c>
      <c r="J174" s="315">
        <f t="shared" si="21"/>
        <v>0.7093204709887928</v>
      </c>
    </row>
    <row r="175" spans="1:10" ht="27.75" customHeight="1">
      <c r="A175" s="141" t="s">
        <v>45</v>
      </c>
      <c r="B175" s="35"/>
      <c r="C175" s="40">
        <v>412500</v>
      </c>
      <c r="D175" s="36" t="s">
        <v>303</v>
      </c>
      <c r="E175" s="204">
        <v>30000</v>
      </c>
      <c r="F175" s="204">
        <v>19000</v>
      </c>
      <c r="G175" s="204">
        <v>20000</v>
      </c>
      <c r="H175" s="218">
        <f t="shared" si="22"/>
        <v>105.26315789473684</v>
      </c>
      <c r="I175" s="349">
        <f t="shared" si="20"/>
        <v>66.66666666666666</v>
      </c>
      <c r="J175" s="315">
        <f t="shared" si="21"/>
        <v>0.0945760627985057</v>
      </c>
    </row>
    <row r="176" spans="1:10" ht="24.75" customHeight="1">
      <c r="A176" s="141" t="s">
        <v>45</v>
      </c>
      <c r="B176" s="35"/>
      <c r="C176" s="40">
        <v>412500</v>
      </c>
      <c r="D176" s="46" t="s">
        <v>199</v>
      </c>
      <c r="E176" s="204">
        <v>20000</v>
      </c>
      <c r="F176" s="204">
        <v>20000</v>
      </c>
      <c r="G176" s="204">
        <v>10000</v>
      </c>
      <c r="H176" s="218">
        <f t="shared" si="22"/>
        <v>50</v>
      </c>
      <c r="I176" s="349">
        <f t="shared" si="20"/>
        <v>50</v>
      </c>
      <c r="J176" s="315">
        <f t="shared" si="21"/>
        <v>0.04728803139925285</v>
      </c>
    </row>
    <row r="177" spans="1:10" ht="12.75">
      <c r="A177" s="141" t="s">
        <v>45</v>
      </c>
      <c r="B177" s="35"/>
      <c r="C177" s="40">
        <v>412500</v>
      </c>
      <c r="D177" s="36" t="s">
        <v>213</v>
      </c>
      <c r="E177" s="189">
        <v>80000</v>
      </c>
      <c r="F177" s="189">
        <v>30000</v>
      </c>
      <c r="G177" s="189">
        <v>70000</v>
      </c>
      <c r="H177" s="218">
        <f t="shared" si="22"/>
        <v>233.33333333333334</v>
      </c>
      <c r="I177" s="349">
        <f t="shared" si="20"/>
        <v>87.5</v>
      </c>
      <c r="J177" s="315">
        <f t="shared" si="21"/>
        <v>0.33101621979477</v>
      </c>
    </row>
    <row r="178" spans="1:10" ht="12.75">
      <c r="A178" s="141" t="s">
        <v>45</v>
      </c>
      <c r="B178" s="35"/>
      <c r="C178" s="40">
        <v>412500</v>
      </c>
      <c r="D178" s="36" t="s">
        <v>46</v>
      </c>
      <c r="E178" s="189">
        <v>20000</v>
      </c>
      <c r="F178" s="189">
        <v>33149.01</v>
      </c>
      <c r="G178" s="189">
        <v>30000</v>
      </c>
      <c r="H178" s="218">
        <f t="shared" si="22"/>
        <v>90.50044028464198</v>
      </c>
      <c r="I178" s="349">
        <f t="shared" si="20"/>
        <v>150</v>
      </c>
      <c r="J178" s="315">
        <f t="shared" si="21"/>
        <v>0.14186409419775856</v>
      </c>
    </row>
    <row r="179" spans="1:10" ht="12.75">
      <c r="A179" s="141" t="s">
        <v>45</v>
      </c>
      <c r="B179" s="35"/>
      <c r="C179" s="40">
        <v>412500</v>
      </c>
      <c r="D179" s="36" t="s">
        <v>47</v>
      </c>
      <c r="E179" s="189">
        <v>5000</v>
      </c>
      <c r="F179" s="189">
        <v>2000</v>
      </c>
      <c r="G179" s="189">
        <v>2000</v>
      </c>
      <c r="H179" s="218">
        <f t="shared" si="22"/>
        <v>100</v>
      </c>
      <c r="I179" s="349">
        <f t="shared" si="20"/>
        <v>40</v>
      </c>
      <c r="J179" s="315">
        <f t="shared" si="21"/>
        <v>0.00945760627985057</v>
      </c>
    </row>
    <row r="180" spans="1:10" ht="12.75">
      <c r="A180" s="141"/>
      <c r="B180" s="25">
        <v>415000</v>
      </c>
      <c r="C180" s="40"/>
      <c r="D180" s="48" t="s">
        <v>159</v>
      </c>
      <c r="E180" s="193">
        <f>SUM(E181:E182)</f>
        <v>20000</v>
      </c>
      <c r="F180" s="193">
        <f>SUM(F181:F182)</f>
        <v>20000</v>
      </c>
      <c r="G180" s="193">
        <f>SUM(G181:G182)</f>
        <v>20000</v>
      </c>
      <c r="H180" s="193">
        <f t="shared" si="22"/>
        <v>100</v>
      </c>
      <c r="I180" s="192">
        <f t="shared" si="20"/>
        <v>100</v>
      </c>
      <c r="J180" s="346">
        <f t="shared" si="21"/>
        <v>0.0945760627985057</v>
      </c>
    </row>
    <row r="181" spans="1:10" ht="12.75">
      <c r="A181" s="141" t="s">
        <v>42</v>
      </c>
      <c r="B181" s="25"/>
      <c r="C181" s="40">
        <v>415200</v>
      </c>
      <c r="D181" s="36" t="s">
        <v>366</v>
      </c>
      <c r="E181" s="204">
        <v>20000</v>
      </c>
      <c r="F181" s="204">
        <v>20000</v>
      </c>
      <c r="G181" s="204">
        <v>20000</v>
      </c>
      <c r="H181" s="218">
        <f t="shared" si="22"/>
        <v>100</v>
      </c>
      <c r="I181" s="349">
        <f t="shared" si="20"/>
        <v>100</v>
      </c>
      <c r="J181" s="315">
        <f t="shared" si="21"/>
        <v>0.0945760627985057</v>
      </c>
    </row>
    <row r="182" spans="1:10" ht="12.75" hidden="1">
      <c r="A182" s="42" t="s">
        <v>48</v>
      </c>
      <c r="B182" s="35"/>
      <c r="C182" s="40">
        <v>415200</v>
      </c>
      <c r="D182" s="36" t="s">
        <v>335</v>
      </c>
      <c r="E182" s="189">
        <v>0</v>
      </c>
      <c r="F182" s="189">
        <v>0</v>
      </c>
      <c r="G182" s="189">
        <v>0</v>
      </c>
      <c r="H182" s="218" t="e">
        <f t="shared" si="22"/>
        <v>#DIV/0!</v>
      </c>
      <c r="I182" s="349">
        <f t="shared" si="20"/>
        <v>0</v>
      </c>
      <c r="J182" s="315">
        <f t="shared" si="21"/>
        <v>0</v>
      </c>
    </row>
    <row r="183" spans="1:10" ht="18" customHeight="1">
      <c r="A183" s="141"/>
      <c r="B183" s="35"/>
      <c r="C183" s="85"/>
      <c r="D183" s="48" t="s">
        <v>374</v>
      </c>
      <c r="E183" s="193">
        <f>E184+E190</f>
        <v>627500</v>
      </c>
      <c r="F183" s="193">
        <f>F184+F190</f>
        <v>871500</v>
      </c>
      <c r="G183" s="193">
        <f>G184+G190</f>
        <v>1964472.02</v>
      </c>
      <c r="H183" s="193">
        <f t="shared" si="22"/>
        <v>225.41273895582327</v>
      </c>
      <c r="I183" s="192">
        <f t="shared" si="20"/>
        <v>313.0632701195219</v>
      </c>
      <c r="J183" s="346">
        <f t="shared" si="21"/>
        <v>9.289601456471368</v>
      </c>
    </row>
    <row r="184" spans="1:10" ht="15" customHeight="1">
      <c r="A184" s="141"/>
      <c r="B184" s="35"/>
      <c r="C184" s="85"/>
      <c r="D184" s="48" t="s">
        <v>393</v>
      </c>
      <c r="E184" s="353">
        <f>SUM(E185:E189)</f>
        <v>627500</v>
      </c>
      <c r="F184" s="353">
        <f>SUM(F185:F189)</f>
        <v>871500</v>
      </c>
      <c r="G184" s="353">
        <f>SUM(G185:G189)</f>
        <v>497700</v>
      </c>
      <c r="H184" s="353">
        <f t="shared" si="22"/>
        <v>57.10843373493976</v>
      </c>
      <c r="I184" s="354">
        <f t="shared" si="20"/>
        <v>79.31474103585657</v>
      </c>
      <c r="J184" s="355">
        <f t="shared" si="21"/>
        <v>2.3535253227408144</v>
      </c>
    </row>
    <row r="185" spans="1:12" s="62" customFormat="1" ht="13.5" customHeight="1">
      <c r="A185" s="43" t="s">
        <v>32</v>
      </c>
      <c r="B185" s="98"/>
      <c r="C185" s="99">
        <v>511100</v>
      </c>
      <c r="D185" s="97" t="s">
        <v>566</v>
      </c>
      <c r="E185" s="289">
        <v>0</v>
      </c>
      <c r="F185" s="289">
        <v>0</v>
      </c>
      <c r="G185" s="289">
        <v>115000</v>
      </c>
      <c r="H185" s="218" t="e">
        <f t="shared" si="22"/>
        <v>#DIV/0!</v>
      </c>
      <c r="I185" s="349">
        <f t="shared" si="20"/>
        <v>0</v>
      </c>
      <c r="J185" s="315">
        <f t="shared" si="21"/>
        <v>0.5438123610914077</v>
      </c>
      <c r="K185" s="457"/>
      <c r="L185" s="467"/>
    </row>
    <row r="186" spans="1:10" ht="36">
      <c r="A186" s="517" t="s">
        <v>42</v>
      </c>
      <c r="B186" s="518"/>
      <c r="C186" s="519">
        <v>511200</v>
      </c>
      <c r="D186" s="520" t="s">
        <v>371</v>
      </c>
      <c r="E186" s="521">
        <v>617500</v>
      </c>
      <c r="F186" s="521">
        <v>590500</v>
      </c>
      <c r="G186" s="521">
        <v>372700</v>
      </c>
      <c r="H186" s="522">
        <f t="shared" si="22"/>
        <v>63.11600338696021</v>
      </c>
      <c r="I186" s="523">
        <f t="shared" si="20"/>
        <v>60.35627530364373</v>
      </c>
      <c r="J186" s="524">
        <f t="shared" si="21"/>
        <v>1.7624249302501536</v>
      </c>
    </row>
    <row r="187" spans="1:10" ht="22.5" customHeight="1">
      <c r="A187" s="517" t="s">
        <v>42</v>
      </c>
      <c r="B187" s="518"/>
      <c r="C187" s="519">
        <v>511200</v>
      </c>
      <c r="D187" s="520" t="s">
        <v>553</v>
      </c>
      <c r="E187" s="521">
        <v>0</v>
      </c>
      <c r="F187" s="521">
        <v>250000</v>
      </c>
      <c r="G187" s="521">
        <v>0</v>
      </c>
      <c r="H187" s="522"/>
      <c r="I187" s="523">
        <f>IF(E187&gt;0,G187/E187*100,0)</f>
        <v>0</v>
      </c>
      <c r="J187" s="524">
        <f>G187/$G$491*100</f>
        <v>0</v>
      </c>
    </row>
    <row r="188" spans="1:10" ht="34.5" customHeight="1">
      <c r="A188" s="43" t="s">
        <v>42</v>
      </c>
      <c r="B188" s="98"/>
      <c r="C188" s="99">
        <v>511200</v>
      </c>
      <c r="D188" s="97" t="s">
        <v>540</v>
      </c>
      <c r="E188" s="204">
        <v>0</v>
      </c>
      <c r="F188" s="204">
        <v>21000</v>
      </c>
      <c r="G188" s="204">
        <v>0</v>
      </c>
      <c r="H188" s="218">
        <f t="shared" si="22"/>
        <v>0</v>
      </c>
      <c r="I188" s="349">
        <f t="shared" si="20"/>
        <v>0</v>
      </c>
      <c r="J188" s="315">
        <f t="shared" si="21"/>
        <v>0</v>
      </c>
    </row>
    <row r="189" spans="1:10" ht="15.75" customHeight="1">
      <c r="A189" s="43" t="s">
        <v>42</v>
      </c>
      <c r="B189" s="98"/>
      <c r="C189" s="99">
        <v>511200</v>
      </c>
      <c r="D189" s="97" t="s">
        <v>221</v>
      </c>
      <c r="E189" s="189">
        <v>10000</v>
      </c>
      <c r="F189" s="189">
        <v>10000</v>
      </c>
      <c r="G189" s="189">
        <v>10000</v>
      </c>
      <c r="H189" s="218">
        <f t="shared" si="22"/>
        <v>100</v>
      </c>
      <c r="I189" s="349">
        <f t="shared" si="20"/>
        <v>100</v>
      </c>
      <c r="J189" s="315">
        <f t="shared" si="21"/>
        <v>0.04728803139925285</v>
      </c>
    </row>
    <row r="190" spans="1:10" ht="15" customHeight="1">
      <c r="A190" s="43"/>
      <c r="B190" s="98"/>
      <c r="C190" s="99"/>
      <c r="D190" s="156" t="s">
        <v>394</v>
      </c>
      <c r="E190" s="353">
        <f>SUM(E191)</f>
        <v>0</v>
      </c>
      <c r="F190" s="353">
        <f>SUM(F191)</f>
        <v>0</v>
      </c>
      <c r="G190" s="353">
        <f>SUM(G191)</f>
        <v>1466772.02</v>
      </c>
      <c r="H190" s="353" t="e">
        <f t="shared" si="22"/>
        <v>#DIV/0!</v>
      </c>
      <c r="I190" s="354">
        <f t="shared" si="20"/>
        <v>0</v>
      </c>
      <c r="J190" s="355">
        <f t="shared" si="21"/>
        <v>6.936076133730553</v>
      </c>
    </row>
    <row r="191" spans="1:10" ht="23.25" customHeight="1">
      <c r="A191" s="43" t="s">
        <v>42</v>
      </c>
      <c r="B191" s="98"/>
      <c r="C191" s="99">
        <v>511200</v>
      </c>
      <c r="D191" s="97" t="s">
        <v>396</v>
      </c>
      <c r="E191" s="189">
        <v>0</v>
      </c>
      <c r="F191" s="189">
        <v>0</v>
      </c>
      <c r="G191" s="189">
        <v>1466772.02</v>
      </c>
      <c r="H191" s="193" t="e">
        <f t="shared" si="22"/>
        <v>#DIV/0!</v>
      </c>
      <c r="I191" s="476">
        <f t="shared" si="20"/>
        <v>0</v>
      </c>
      <c r="J191" s="477">
        <f t="shared" si="21"/>
        <v>6.936076133730553</v>
      </c>
    </row>
    <row r="192" spans="1:10" ht="25.5" customHeight="1">
      <c r="A192" s="576"/>
      <c r="B192" s="577"/>
      <c r="C192" s="590" t="s">
        <v>88</v>
      </c>
      <c r="D192" s="591"/>
      <c r="E192" s="392">
        <f>E156+E163+E173+E180+E183</f>
        <v>1614100</v>
      </c>
      <c r="F192" s="392">
        <f>F156+F163+F173+F180+F183</f>
        <v>1908960</v>
      </c>
      <c r="G192" s="392">
        <f>G156+G163+G173+G180+G183</f>
        <v>2956072.02</v>
      </c>
      <c r="H192" s="393">
        <f t="shared" si="22"/>
        <v>154.85248617048026</v>
      </c>
      <c r="I192" s="394">
        <f t="shared" si="20"/>
        <v>183.14057493339942</v>
      </c>
      <c r="J192" s="405">
        <f t="shared" si="21"/>
        <v>13.978682650021279</v>
      </c>
    </row>
    <row r="193" spans="1:10" ht="9.75" customHeight="1">
      <c r="A193" s="578"/>
      <c r="B193" s="579"/>
      <c r="C193" s="584" t="s">
        <v>571</v>
      </c>
      <c r="D193" s="612"/>
      <c r="E193" s="410"/>
      <c r="F193" s="177"/>
      <c r="G193" s="177"/>
      <c r="H193" s="177"/>
      <c r="I193" s="411"/>
      <c r="J193" s="438"/>
    </row>
    <row r="194" spans="1:10" ht="9.75" customHeight="1">
      <c r="A194" s="578"/>
      <c r="B194" s="579"/>
      <c r="C194" s="584"/>
      <c r="D194" s="612"/>
      <c r="E194" s="412"/>
      <c r="F194" s="178"/>
      <c r="G194" s="178"/>
      <c r="H194" s="178"/>
      <c r="I194" s="409"/>
      <c r="J194" s="439"/>
    </row>
    <row r="195" spans="1:10" ht="9.75" customHeight="1">
      <c r="A195" s="578"/>
      <c r="B195" s="579"/>
      <c r="C195" s="584"/>
      <c r="D195" s="612"/>
      <c r="E195" s="412"/>
      <c r="F195" s="178"/>
      <c r="G195" s="178"/>
      <c r="H195" s="178"/>
      <c r="I195" s="409"/>
      <c r="J195" s="439"/>
    </row>
    <row r="196" spans="1:10" ht="9" customHeight="1">
      <c r="A196" s="578"/>
      <c r="B196" s="579"/>
      <c r="C196" s="584"/>
      <c r="D196" s="612"/>
      <c r="E196" s="413"/>
      <c r="F196" s="179"/>
      <c r="G196" s="179"/>
      <c r="H196" s="179"/>
      <c r="I196" s="414"/>
      <c r="J196" s="440"/>
    </row>
    <row r="197" spans="1:10" ht="14.25" customHeight="1">
      <c r="A197" s="141"/>
      <c r="B197" s="25">
        <v>412000</v>
      </c>
      <c r="C197" s="19"/>
      <c r="D197" s="34" t="s">
        <v>145</v>
      </c>
      <c r="E197" s="415">
        <f>SUM(E198:E200)</f>
        <v>6700</v>
      </c>
      <c r="F197" s="415">
        <f>SUM(F198:F200)</f>
        <v>8172.6</v>
      </c>
      <c r="G197" s="415">
        <f>SUM(G198:G200)</f>
        <v>6700</v>
      </c>
      <c r="H197" s="415">
        <f>G197/F197*100</f>
        <v>81.98125443555294</v>
      </c>
      <c r="I197" s="407">
        <f aca="true" t="shared" si="23" ref="I197:I227">IF(E197&gt;0,G197/E197*100,0)</f>
        <v>100</v>
      </c>
      <c r="J197" s="408">
        <f aca="true" t="shared" si="24" ref="J197:J227">G197/$G$491*100</f>
        <v>0.031682981037499405</v>
      </c>
    </row>
    <row r="198" spans="1:10" ht="12.75" customHeight="1">
      <c r="A198" s="141" t="s">
        <v>37</v>
      </c>
      <c r="B198" s="35"/>
      <c r="C198" s="19">
        <v>412500</v>
      </c>
      <c r="D198" s="36" t="s">
        <v>141</v>
      </c>
      <c r="E198" s="204">
        <v>6000</v>
      </c>
      <c r="F198" s="204">
        <v>7500</v>
      </c>
      <c r="G198" s="204">
        <v>6000</v>
      </c>
      <c r="H198" s="218">
        <f aca="true" t="shared" si="25" ref="H198:H227">G198/F198*100</f>
        <v>80</v>
      </c>
      <c r="I198" s="349">
        <f t="shared" si="23"/>
        <v>100</v>
      </c>
      <c r="J198" s="315">
        <f t="shared" si="24"/>
        <v>0.028372818839551707</v>
      </c>
    </row>
    <row r="199" spans="1:10" ht="12.75" customHeight="1">
      <c r="A199" s="141" t="s">
        <v>28</v>
      </c>
      <c r="B199" s="35"/>
      <c r="C199" s="19">
        <v>412900</v>
      </c>
      <c r="D199" s="32" t="s">
        <v>0</v>
      </c>
      <c r="E199" s="204">
        <v>400</v>
      </c>
      <c r="F199" s="204">
        <v>381.6</v>
      </c>
      <c r="G199" s="204">
        <v>400</v>
      </c>
      <c r="H199" s="218">
        <f t="shared" si="25"/>
        <v>104.82180293501047</v>
      </c>
      <c r="I199" s="349">
        <f t="shared" si="23"/>
        <v>100</v>
      </c>
      <c r="J199" s="315">
        <f t="shared" si="24"/>
        <v>0.0018915212559701142</v>
      </c>
    </row>
    <row r="200" spans="1:10" ht="24" customHeight="1">
      <c r="A200" s="42" t="s">
        <v>38</v>
      </c>
      <c r="B200" s="35"/>
      <c r="C200" s="19">
        <v>412900</v>
      </c>
      <c r="D200" s="32" t="s">
        <v>115</v>
      </c>
      <c r="E200" s="204">
        <v>300</v>
      </c>
      <c r="F200" s="204">
        <v>291</v>
      </c>
      <c r="G200" s="204">
        <v>300</v>
      </c>
      <c r="H200" s="218">
        <f t="shared" si="25"/>
        <v>103.09278350515463</v>
      </c>
      <c r="I200" s="349">
        <f t="shared" si="23"/>
        <v>100</v>
      </c>
      <c r="J200" s="315">
        <f t="shared" si="24"/>
        <v>0.0014186409419775854</v>
      </c>
    </row>
    <row r="201" spans="1:10" ht="14.25" customHeight="1">
      <c r="A201" s="42"/>
      <c r="B201" s="95">
        <v>415000</v>
      </c>
      <c r="C201" s="19"/>
      <c r="D201" s="61" t="s">
        <v>159</v>
      </c>
      <c r="E201" s="193">
        <f>SUM(E202:E216)</f>
        <v>245700</v>
      </c>
      <c r="F201" s="193">
        <f>SUM(F202:F216)</f>
        <v>238680.5</v>
      </c>
      <c r="G201" s="193">
        <f>SUM(G202:G216)</f>
        <v>211800</v>
      </c>
      <c r="H201" s="193">
        <f t="shared" si="25"/>
        <v>88.73787343331358</v>
      </c>
      <c r="I201" s="192">
        <f t="shared" si="23"/>
        <v>86.20268620268621</v>
      </c>
      <c r="J201" s="346">
        <f t="shared" si="24"/>
        <v>1.0015605050361753</v>
      </c>
    </row>
    <row r="202" spans="1:10" ht="12.75" customHeight="1">
      <c r="A202" s="141" t="s">
        <v>48</v>
      </c>
      <c r="B202" s="101"/>
      <c r="C202" s="64">
        <v>415200</v>
      </c>
      <c r="D202" s="51" t="s">
        <v>228</v>
      </c>
      <c r="E202" s="218">
        <v>90000</v>
      </c>
      <c r="F202" s="218">
        <v>81000</v>
      </c>
      <c r="G202" s="189">
        <v>90000</v>
      </c>
      <c r="H202" s="218">
        <f t="shared" si="25"/>
        <v>111.11111111111111</v>
      </c>
      <c r="I202" s="349">
        <f t="shared" si="23"/>
        <v>100</v>
      </c>
      <c r="J202" s="315">
        <f t="shared" si="24"/>
        <v>0.4255922825932757</v>
      </c>
    </row>
    <row r="203" spans="1:10" ht="12.75">
      <c r="A203" s="141" t="s">
        <v>48</v>
      </c>
      <c r="B203" s="101"/>
      <c r="C203" s="64">
        <v>415200</v>
      </c>
      <c r="D203" s="51" t="s">
        <v>353</v>
      </c>
      <c r="E203" s="218">
        <v>0</v>
      </c>
      <c r="F203" s="218">
        <v>4369</v>
      </c>
      <c r="G203" s="189">
        <v>0</v>
      </c>
      <c r="H203" s="218">
        <f t="shared" si="25"/>
        <v>0</v>
      </c>
      <c r="I203" s="349">
        <f t="shared" si="23"/>
        <v>0</v>
      </c>
      <c r="J203" s="315">
        <f t="shared" si="24"/>
        <v>0</v>
      </c>
    </row>
    <row r="204" spans="1:10" ht="24">
      <c r="A204" s="141" t="s">
        <v>48</v>
      </c>
      <c r="B204" s="101"/>
      <c r="C204" s="64">
        <v>415200</v>
      </c>
      <c r="D204" s="51" t="s">
        <v>386</v>
      </c>
      <c r="E204" s="218">
        <v>25000</v>
      </c>
      <c r="F204" s="218">
        <v>30000</v>
      </c>
      <c r="G204" s="189">
        <v>0</v>
      </c>
      <c r="H204" s="218">
        <f t="shared" si="25"/>
        <v>0</v>
      </c>
      <c r="I204" s="349">
        <f t="shared" si="23"/>
        <v>0</v>
      </c>
      <c r="J204" s="315">
        <f t="shared" si="24"/>
        <v>0</v>
      </c>
    </row>
    <row r="205" spans="1:10" ht="12.75" customHeight="1">
      <c r="A205" s="141" t="s">
        <v>48</v>
      </c>
      <c r="B205" s="101"/>
      <c r="C205" s="64">
        <v>415200</v>
      </c>
      <c r="D205" s="51" t="s">
        <v>229</v>
      </c>
      <c r="E205" s="218">
        <v>25000</v>
      </c>
      <c r="F205" s="218">
        <v>22500</v>
      </c>
      <c r="G205" s="189">
        <v>25000</v>
      </c>
      <c r="H205" s="218">
        <f t="shared" si="25"/>
        <v>111.11111111111111</v>
      </c>
      <c r="I205" s="349">
        <f t="shared" si="23"/>
        <v>100</v>
      </c>
      <c r="J205" s="315">
        <f t="shared" si="24"/>
        <v>0.11822007849813213</v>
      </c>
    </row>
    <row r="206" spans="1:10" ht="24" customHeight="1">
      <c r="A206" s="141" t="s">
        <v>48</v>
      </c>
      <c r="B206" s="101"/>
      <c r="C206" s="64">
        <v>415200</v>
      </c>
      <c r="D206" s="51" t="s">
        <v>230</v>
      </c>
      <c r="E206" s="218">
        <v>30000</v>
      </c>
      <c r="F206" s="218">
        <v>27000</v>
      </c>
      <c r="G206" s="189">
        <v>30000</v>
      </c>
      <c r="H206" s="218">
        <f t="shared" si="25"/>
        <v>111.11111111111111</v>
      </c>
      <c r="I206" s="349">
        <f t="shared" si="23"/>
        <v>100</v>
      </c>
      <c r="J206" s="315">
        <f t="shared" si="24"/>
        <v>0.14186409419775856</v>
      </c>
    </row>
    <row r="207" spans="1:10" ht="13.5" customHeight="1">
      <c r="A207" s="141" t="s">
        <v>48</v>
      </c>
      <c r="B207" s="101"/>
      <c r="C207" s="64">
        <v>415200</v>
      </c>
      <c r="D207" s="51" t="s">
        <v>350</v>
      </c>
      <c r="E207" s="218">
        <v>8000</v>
      </c>
      <c r="F207" s="218">
        <v>7200</v>
      </c>
      <c r="G207" s="189">
        <v>8000</v>
      </c>
      <c r="H207" s="218">
        <f t="shared" si="25"/>
        <v>111.11111111111111</v>
      </c>
      <c r="I207" s="349">
        <f t="shared" si="23"/>
        <v>100</v>
      </c>
      <c r="J207" s="315">
        <f t="shared" si="24"/>
        <v>0.03783042511940228</v>
      </c>
    </row>
    <row r="208" spans="1:10" ht="13.5" customHeight="1">
      <c r="A208" s="141" t="s">
        <v>48</v>
      </c>
      <c r="B208" s="101"/>
      <c r="C208" s="64">
        <v>415200</v>
      </c>
      <c r="D208" s="51" t="s">
        <v>231</v>
      </c>
      <c r="E208" s="218">
        <v>5000</v>
      </c>
      <c r="F208" s="218">
        <v>4500</v>
      </c>
      <c r="G208" s="189">
        <v>5000</v>
      </c>
      <c r="H208" s="218">
        <f t="shared" si="25"/>
        <v>111.11111111111111</v>
      </c>
      <c r="I208" s="349">
        <f t="shared" si="23"/>
        <v>100</v>
      </c>
      <c r="J208" s="315">
        <f t="shared" si="24"/>
        <v>0.023644015699626424</v>
      </c>
    </row>
    <row r="209" spans="1:10" ht="13.5" customHeight="1">
      <c r="A209" s="141" t="s">
        <v>48</v>
      </c>
      <c r="B209" s="101"/>
      <c r="C209" s="64">
        <v>415200</v>
      </c>
      <c r="D209" s="51" t="s">
        <v>464</v>
      </c>
      <c r="E209" s="218">
        <v>5000</v>
      </c>
      <c r="F209" s="218">
        <v>4500</v>
      </c>
      <c r="G209" s="189">
        <v>5000</v>
      </c>
      <c r="H209" s="218">
        <f t="shared" si="25"/>
        <v>111.11111111111111</v>
      </c>
      <c r="I209" s="349">
        <f t="shared" si="23"/>
        <v>100</v>
      </c>
      <c r="J209" s="315">
        <f t="shared" si="24"/>
        <v>0.023644015699626424</v>
      </c>
    </row>
    <row r="210" spans="1:10" ht="24" customHeight="1">
      <c r="A210" s="141" t="s">
        <v>48</v>
      </c>
      <c r="B210" s="101"/>
      <c r="C210" s="64">
        <v>415200</v>
      </c>
      <c r="D210" s="51" t="s">
        <v>498</v>
      </c>
      <c r="E210" s="204">
        <v>0</v>
      </c>
      <c r="F210" s="204">
        <v>3000</v>
      </c>
      <c r="G210" s="204">
        <v>0</v>
      </c>
      <c r="H210" s="218">
        <f t="shared" si="25"/>
        <v>0</v>
      </c>
      <c r="I210" s="349">
        <f t="shared" si="23"/>
        <v>0</v>
      </c>
      <c r="J210" s="315">
        <f t="shared" si="24"/>
        <v>0</v>
      </c>
    </row>
    <row r="211" spans="1:10" ht="25.5" customHeight="1">
      <c r="A211" s="141" t="s">
        <v>48</v>
      </c>
      <c r="B211" s="101"/>
      <c r="C211" s="64">
        <v>415200</v>
      </c>
      <c r="D211" s="51" t="s">
        <v>288</v>
      </c>
      <c r="E211" s="204">
        <v>10000</v>
      </c>
      <c r="F211" s="204">
        <v>12673</v>
      </c>
      <c r="G211" s="204">
        <v>10000</v>
      </c>
      <c r="H211" s="218">
        <f t="shared" si="25"/>
        <v>78.90791446382072</v>
      </c>
      <c r="I211" s="349">
        <f t="shared" si="23"/>
        <v>100</v>
      </c>
      <c r="J211" s="315">
        <f t="shared" si="24"/>
        <v>0.04728803139925285</v>
      </c>
    </row>
    <row r="212" spans="1:10" ht="24">
      <c r="A212" s="141" t="s">
        <v>48</v>
      </c>
      <c r="B212" s="101"/>
      <c r="C212" s="64">
        <v>415200</v>
      </c>
      <c r="D212" s="51" t="s">
        <v>289</v>
      </c>
      <c r="E212" s="204">
        <v>3200</v>
      </c>
      <c r="F212" s="204">
        <v>3200</v>
      </c>
      <c r="G212" s="204">
        <v>2800</v>
      </c>
      <c r="H212" s="218">
        <f t="shared" si="25"/>
        <v>87.5</v>
      </c>
      <c r="I212" s="349">
        <f t="shared" si="23"/>
        <v>87.5</v>
      </c>
      <c r="J212" s="315">
        <f t="shared" si="24"/>
        <v>0.013240648791790799</v>
      </c>
    </row>
    <row r="213" spans="1:10" ht="24.75" customHeight="1">
      <c r="A213" s="141" t="s">
        <v>48</v>
      </c>
      <c r="B213" s="101"/>
      <c r="C213" s="64">
        <v>415200</v>
      </c>
      <c r="D213" s="51" t="s">
        <v>291</v>
      </c>
      <c r="E213" s="204">
        <v>7000</v>
      </c>
      <c r="F213" s="204">
        <v>5938.5</v>
      </c>
      <c r="G213" s="204">
        <v>6000</v>
      </c>
      <c r="H213" s="218">
        <f t="shared" si="25"/>
        <v>101.03561505430665</v>
      </c>
      <c r="I213" s="349">
        <f t="shared" si="23"/>
        <v>85.71428571428571</v>
      </c>
      <c r="J213" s="315">
        <f t="shared" si="24"/>
        <v>0.028372818839551707</v>
      </c>
    </row>
    <row r="214" spans="1:10" ht="24" customHeight="1">
      <c r="A214" s="42" t="s">
        <v>48</v>
      </c>
      <c r="B214" s="102"/>
      <c r="C214" s="99">
        <v>415200</v>
      </c>
      <c r="D214" s="97" t="s">
        <v>218</v>
      </c>
      <c r="E214" s="204">
        <v>35000</v>
      </c>
      <c r="F214" s="204">
        <v>32300</v>
      </c>
      <c r="G214" s="189">
        <v>30000</v>
      </c>
      <c r="H214" s="218">
        <f t="shared" si="25"/>
        <v>92.87925696594426</v>
      </c>
      <c r="I214" s="349">
        <f t="shared" si="23"/>
        <v>85.71428571428571</v>
      </c>
      <c r="J214" s="315">
        <f t="shared" si="24"/>
        <v>0.14186409419775856</v>
      </c>
    </row>
    <row r="215" spans="1:10" ht="24" hidden="1">
      <c r="A215" s="43" t="s">
        <v>48</v>
      </c>
      <c r="B215" s="102"/>
      <c r="C215" s="99">
        <v>415200</v>
      </c>
      <c r="D215" s="97" t="s">
        <v>344</v>
      </c>
      <c r="E215" s="218">
        <v>0</v>
      </c>
      <c r="F215" s="218">
        <v>0</v>
      </c>
      <c r="G215" s="218">
        <v>0</v>
      </c>
      <c r="H215" s="218" t="e">
        <f t="shared" si="25"/>
        <v>#DIV/0!</v>
      </c>
      <c r="I215" s="349">
        <f t="shared" si="23"/>
        <v>0</v>
      </c>
      <c r="J215" s="315">
        <f t="shared" si="24"/>
        <v>0</v>
      </c>
    </row>
    <row r="216" spans="1:10" ht="26.25" customHeight="1">
      <c r="A216" s="43" t="s">
        <v>48</v>
      </c>
      <c r="B216" s="102"/>
      <c r="C216" s="99">
        <v>415200</v>
      </c>
      <c r="D216" s="97" t="s">
        <v>408</v>
      </c>
      <c r="E216" s="204">
        <v>2500</v>
      </c>
      <c r="F216" s="204">
        <v>500</v>
      </c>
      <c r="G216" s="204">
        <v>0</v>
      </c>
      <c r="H216" s="218">
        <f t="shared" si="25"/>
        <v>0</v>
      </c>
      <c r="I216" s="349">
        <f t="shared" si="23"/>
        <v>0</v>
      </c>
      <c r="J216" s="315">
        <f t="shared" si="24"/>
        <v>0</v>
      </c>
    </row>
    <row r="217" spans="1:12" s="113" customFormat="1" ht="14.25" customHeight="1">
      <c r="A217" s="43"/>
      <c r="B217" s="98">
        <v>416000</v>
      </c>
      <c r="C217" s="155"/>
      <c r="D217" s="156" t="s">
        <v>1</v>
      </c>
      <c r="E217" s="238">
        <f>SUM(E218:E218)</f>
        <v>62000</v>
      </c>
      <c r="F217" s="238">
        <f>SUM(F218:F218)</f>
        <v>53000</v>
      </c>
      <c r="G217" s="238">
        <f>SUM(G218:G218)</f>
        <v>50000</v>
      </c>
      <c r="H217" s="193">
        <f t="shared" si="25"/>
        <v>94.33962264150944</v>
      </c>
      <c r="I217" s="192">
        <f t="shared" si="23"/>
        <v>80.64516129032258</v>
      </c>
      <c r="J217" s="346">
        <f t="shared" si="24"/>
        <v>0.23644015699626425</v>
      </c>
      <c r="K217" s="460"/>
      <c r="L217" s="466"/>
    </row>
    <row r="218" spans="1:12" s="113" customFormat="1" ht="14.25" customHeight="1">
      <c r="A218" s="43" t="s">
        <v>34</v>
      </c>
      <c r="B218" s="154"/>
      <c r="C218" s="39">
        <v>416100</v>
      </c>
      <c r="D218" s="45" t="s">
        <v>293</v>
      </c>
      <c r="E218" s="289">
        <v>62000</v>
      </c>
      <c r="F218" s="289">
        <v>53000</v>
      </c>
      <c r="G218" s="289">
        <v>50000</v>
      </c>
      <c r="H218" s="218">
        <f t="shared" si="25"/>
        <v>94.33962264150944</v>
      </c>
      <c r="I218" s="349">
        <f t="shared" si="23"/>
        <v>80.64516129032258</v>
      </c>
      <c r="J218" s="315">
        <f t="shared" si="24"/>
        <v>0.23644015699626425</v>
      </c>
      <c r="K218" s="474"/>
      <c r="L218" s="466"/>
    </row>
    <row r="219" spans="1:10" ht="15" customHeight="1">
      <c r="A219" s="141"/>
      <c r="B219" s="25">
        <v>511000</v>
      </c>
      <c r="C219" s="39"/>
      <c r="D219" s="34" t="s">
        <v>163</v>
      </c>
      <c r="E219" s="193">
        <f>SUM(E220:E221)</f>
        <v>70000</v>
      </c>
      <c r="F219" s="193">
        <f>SUM(F220:F221)</f>
        <v>42468.52</v>
      </c>
      <c r="G219" s="193">
        <f>SUM(G220:G221)</f>
        <v>70000</v>
      </c>
      <c r="H219" s="193">
        <f t="shared" si="25"/>
        <v>164.82797140093416</v>
      </c>
      <c r="I219" s="192">
        <f t="shared" si="23"/>
        <v>100</v>
      </c>
      <c r="J219" s="346">
        <f t="shared" si="24"/>
        <v>0.33101621979477</v>
      </c>
    </row>
    <row r="220" spans="1:10" ht="24.75" customHeight="1">
      <c r="A220" s="141" t="s">
        <v>48</v>
      </c>
      <c r="B220" s="25"/>
      <c r="C220" s="39">
        <v>511100</v>
      </c>
      <c r="D220" s="32" t="s">
        <v>367</v>
      </c>
      <c r="E220" s="218">
        <v>40000</v>
      </c>
      <c r="F220" s="218">
        <v>39300</v>
      </c>
      <c r="G220" s="218">
        <v>40000</v>
      </c>
      <c r="H220" s="218">
        <f t="shared" si="25"/>
        <v>101.78117048346056</v>
      </c>
      <c r="I220" s="349">
        <f t="shared" si="23"/>
        <v>100</v>
      </c>
      <c r="J220" s="315">
        <f t="shared" si="24"/>
        <v>0.1891521255970114</v>
      </c>
    </row>
    <row r="221" spans="1:10" ht="25.5" customHeight="1">
      <c r="A221" s="141" t="s">
        <v>48</v>
      </c>
      <c r="B221" s="25"/>
      <c r="C221" s="39">
        <v>511100</v>
      </c>
      <c r="D221" s="32" t="s">
        <v>301</v>
      </c>
      <c r="E221" s="218">
        <v>30000</v>
      </c>
      <c r="F221" s="218">
        <v>3168.52</v>
      </c>
      <c r="G221" s="204">
        <v>30000</v>
      </c>
      <c r="H221" s="218">
        <f t="shared" si="25"/>
        <v>946.8142855339402</v>
      </c>
      <c r="I221" s="349">
        <f t="shared" si="23"/>
        <v>100</v>
      </c>
      <c r="J221" s="315">
        <f t="shared" si="24"/>
        <v>0.14186409419775856</v>
      </c>
    </row>
    <row r="222" spans="1:10" ht="18" customHeight="1">
      <c r="A222" s="141"/>
      <c r="B222" s="25"/>
      <c r="C222" s="39"/>
      <c r="D222" s="34" t="s">
        <v>365</v>
      </c>
      <c r="E222" s="369">
        <f>SUM(E224:E226)</f>
        <v>0</v>
      </c>
      <c r="F222" s="369">
        <f>SUM(F223:F226)</f>
        <v>0</v>
      </c>
      <c r="G222" s="369">
        <f>SUM(G223:G226)</f>
        <v>28000</v>
      </c>
      <c r="H222" s="369"/>
      <c r="I222" s="367">
        <f t="shared" si="23"/>
        <v>0</v>
      </c>
      <c r="J222" s="525">
        <f t="shared" si="24"/>
        <v>0.132406487917908</v>
      </c>
    </row>
    <row r="223" spans="1:10" ht="12.75">
      <c r="A223" s="141" t="s">
        <v>60</v>
      </c>
      <c r="B223" s="25"/>
      <c r="C223" s="39">
        <v>412900</v>
      </c>
      <c r="D223" s="32" t="s">
        <v>342</v>
      </c>
      <c r="E223" s="350">
        <v>0</v>
      </c>
      <c r="F223" s="350">
        <v>0</v>
      </c>
      <c r="G223" s="350">
        <v>2000</v>
      </c>
      <c r="H223" s="350"/>
      <c r="I223" s="349">
        <f t="shared" si="23"/>
        <v>0</v>
      </c>
      <c r="J223" s="315">
        <f t="shared" si="24"/>
        <v>0.00945760627985057</v>
      </c>
    </row>
    <row r="224" spans="1:10" ht="24">
      <c r="A224" s="141" t="s">
        <v>60</v>
      </c>
      <c r="B224" s="25"/>
      <c r="C224" s="39">
        <v>412900</v>
      </c>
      <c r="D224" s="32" t="s">
        <v>407</v>
      </c>
      <c r="E224" s="350">
        <v>0</v>
      </c>
      <c r="F224" s="350">
        <v>0</v>
      </c>
      <c r="G224" s="350">
        <v>2000</v>
      </c>
      <c r="H224" s="350"/>
      <c r="I224" s="349">
        <f t="shared" si="23"/>
        <v>0</v>
      </c>
      <c r="J224" s="315">
        <f t="shared" si="24"/>
        <v>0.00945760627985057</v>
      </c>
    </row>
    <row r="225" spans="1:10" ht="12.75">
      <c r="A225" s="141" t="s">
        <v>34</v>
      </c>
      <c r="B225" s="25"/>
      <c r="C225" s="39">
        <v>416100</v>
      </c>
      <c r="D225" s="32" t="s">
        <v>227</v>
      </c>
      <c r="E225" s="350">
        <v>0</v>
      </c>
      <c r="F225" s="350">
        <v>0</v>
      </c>
      <c r="G225" s="350">
        <v>20000</v>
      </c>
      <c r="H225" s="350"/>
      <c r="I225" s="349">
        <f t="shared" si="23"/>
        <v>0</v>
      </c>
      <c r="J225" s="315">
        <f t="shared" si="24"/>
        <v>0.0945760627985057</v>
      </c>
    </row>
    <row r="226" spans="1:10" ht="12.75">
      <c r="A226" s="141" t="s">
        <v>60</v>
      </c>
      <c r="B226" s="25"/>
      <c r="C226" s="39">
        <v>511300</v>
      </c>
      <c r="D226" s="32" t="s">
        <v>343</v>
      </c>
      <c r="E226" s="350">
        <v>0</v>
      </c>
      <c r="F226" s="350">
        <v>0</v>
      </c>
      <c r="G226" s="350">
        <v>4000</v>
      </c>
      <c r="H226" s="350"/>
      <c r="I226" s="349">
        <f t="shared" si="23"/>
        <v>0</v>
      </c>
      <c r="J226" s="315">
        <f t="shared" si="24"/>
        <v>0.01891521255970114</v>
      </c>
    </row>
    <row r="227" spans="1:10" ht="30" customHeight="1">
      <c r="A227" s="578"/>
      <c r="B227" s="579"/>
      <c r="C227" s="590" t="s">
        <v>89</v>
      </c>
      <c r="D227" s="591"/>
      <c r="E227" s="73">
        <f>E197+E201+E217+E219+E222</f>
        <v>384400</v>
      </c>
      <c r="F227" s="73">
        <f>F197+F201+F217+F219+F222</f>
        <v>342321.62</v>
      </c>
      <c r="G227" s="73">
        <f>G197+G201+G217+G219+G222</f>
        <v>366500</v>
      </c>
      <c r="H227" s="356">
        <f t="shared" si="25"/>
        <v>107.0630595870632</v>
      </c>
      <c r="I227" s="357">
        <f t="shared" si="23"/>
        <v>95.34339229968782</v>
      </c>
      <c r="J227" s="358">
        <f t="shared" si="24"/>
        <v>1.733106350782617</v>
      </c>
    </row>
    <row r="228" spans="1:10" ht="9.75" customHeight="1">
      <c r="A228" s="578"/>
      <c r="B228" s="579"/>
      <c r="C228" s="584" t="s">
        <v>127</v>
      </c>
      <c r="D228" s="585"/>
      <c r="E228" s="397"/>
      <c r="F228" s="180"/>
      <c r="G228" s="180"/>
      <c r="H228" s="180"/>
      <c r="I228" s="416"/>
      <c r="J228" s="441"/>
    </row>
    <row r="229" spans="1:10" ht="9.75" customHeight="1">
      <c r="A229" s="578"/>
      <c r="B229" s="579"/>
      <c r="C229" s="586"/>
      <c r="D229" s="585"/>
      <c r="E229" s="398"/>
      <c r="F229" s="181"/>
      <c r="G229" s="181"/>
      <c r="H229" s="181"/>
      <c r="I229" s="396"/>
      <c r="J229" s="442"/>
    </row>
    <row r="230" spans="1:10" ht="19.5" customHeight="1">
      <c r="A230" s="578"/>
      <c r="B230" s="579"/>
      <c r="C230" s="586"/>
      <c r="D230" s="585"/>
      <c r="E230" s="399"/>
      <c r="F230" s="182"/>
      <c r="G230" s="182"/>
      <c r="H230" s="182"/>
      <c r="I230" s="400"/>
      <c r="J230" s="443"/>
    </row>
    <row r="231" spans="1:10" ht="14.25" customHeight="1">
      <c r="A231" s="141"/>
      <c r="B231" s="25">
        <v>412000</v>
      </c>
      <c r="C231" s="35"/>
      <c r="D231" s="34" t="s">
        <v>145</v>
      </c>
      <c r="E231" s="415">
        <f>SUM(E232:E236)</f>
        <v>25400</v>
      </c>
      <c r="F231" s="415">
        <f>SUM(F232:F236)</f>
        <v>24360</v>
      </c>
      <c r="G231" s="415">
        <f>SUM(G232:G236)</f>
        <v>25400</v>
      </c>
      <c r="H231" s="415">
        <f>G231/F231*100</f>
        <v>104.26929392446634</v>
      </c>
      <c r="I231" s="407">
        <f aca="true" t="shared" si="26" ref="I231:I237">IF(E231&gt;0,G231/E231*100,0)</f>
        <v>100</v>
      </c>
      <c r="J231" s="408">
        <f aca="true" t="shared" si="27" ref="J231:J237">G231/$G$491*100</f>
        <v>0.12011159975410224</v>
      </c>
    </row>
    <row r="232" spans="1:10" ht="15.75" customHeight="1">
      <c r="A232" s="141" t="s">
        <v>38</v>
      </c>
      <c r="B232" s="25"/>
      <c r="C232" s="19">
        <v>412700</v>
      </c>
      <c r="D232" s="45" t="s">
        <v>111</v>
      </c>
      <c r="E232" s="205">
        <v>10000</v>
      </c>
      <c r="F232" s="205">
        <v>10000</v>
      </c>
      <c r="G232" s="205">
        <v>10000</v>
      </c>
      <c r="H232" s="218">
        <f aca="true" t="shared" si="28" ref="H232:H237">G232/F232*100</f>
        <v>100</v>
      </c>
      <c r="I232" s="349">
        <f t="shared" si="26"/>
        <v>100</v>
      </c>
      <c r="J232" s="315">
        <f t="shared" si="27"/>
        <v>0.04728803139925285</v>
      </c>
    </row>
    <row r="233" spans="1:10" ht="15.75" customHeight="1">
      <c r="A233" s="43" t="s">
        <v>38</v>
      </c>
      <c r="B233" s="44"/>
      <c r="C233" s="39">
        <v>412700</v>
      </c>
      <c r="D233" s="45" t="s">
        <v>132</v>
      </c>
      <c r="E233" s="205">
        <v>2000</v>
      </c>
      <c r="F233" s="205">
        <v>310</v>
      </c>
      <c r="G233" s="205">
        <v>2000</v>
      </c>
      <c r="H233" s="218">
        <f t="shared" si="28"/>
        <v>645.1612903225806</v>
      </c>
      <c r="I233" s="349">
        <f t="shared" si="26"/>
        <v>100</v>
      </c>
      <c r="J233" s="315">
        <f t="shared" si="27"/>
        <v>0.00945760627985057</v>
      </c>
    </row>
    <row r="234" spans="1:10" ht="24.75" customHeight="1">
      <c r="A234" s="43" t="s">
        <v>38</v>
      </c>
      <c r="B234" s="44"/>
      <c r="C234" s="40">
        <v>412700</v>
      </c>
      <c r="D234" s="36" t="s">
        <v>211</v>
      </c>
      <c r="E234" s="204">
        <v>12000</v>
      </c>
      <c r="F234" s="204">
        <v>13650</v>
      </c>
      <c r="G234" s="204">
        <v>12000</v>
      </c>
      <c r="H234" s="218">
        <f t="shared" si="28"/>
        <v>87.91208791208791</v>
      </c>
      <c r="I234" s="349">
        <f t="shared" si="26"/>
        <v>100</v>
      </c>
      <c r="J234" s="315">
        <f t="shared" si="27"/>
        <v>0.056745637679103414</v>
      </c>
    </row>
    <row r="235" spans="1:10" ht="24.75" customHeight="1">
      <c r="A235" s="42" t="s">
        <v>188</v>
      </c>
      <c r="B235" s="35"/>
      <c r="C235" s="40">
        <v>412700</v>
      </c>
      <c r="D235" s="36" t="s">
        <v>345</v>
      </c>
      <c r="E235" s="205">
        <v>1000</v>
      </c>
      <c r="F235" s="205">
        <v>0</v>
      </c>
      <c r="G235" s="205">
        <v>1000</v>
      </c>
      <c r="H235" s="218" t="e">
        <f t="shared" si="28"/>
        <v>#DIV/0!</v>
      </c>
      <c r="I235" s="349">
        <f t="shared" si="26"/>
        <v>100</v>
      </c>
      <c r="J235" s="315">
        <f t="shared" si="27"/>
        <v>0.004728803139925285</v>
      </c>
    </row>
    <row r="236" spans="1:10" ht="12.75" customHeight="1">
      <c r="A236" s="141" t="s">
        <v>28</v>
      </c>
      <c r="B236" s="35"/>
      <c r="C236" s="19">
        <v>412900</v>
      </c>
      <c r="D236" s="32" t="s">
        <v>49</v>
      </c>
      <c r="E236" s="205">
        <v>400</v>
      </c>
      <c r="F236" s="205">
        <v>400</v>
      </c>
      <c r="G236" s="205">
        <v>400</v>
      </c>
      <c r="H236" s="218">
        <f t="shared" si="28"/>
        <v>100</v>
      </c>
      <c r="I236" s="349">
        <f t="shared" si="26"/>
        <v>100</v>
      </c>
      <c r="J236" s="315">
        <f t="shared" si="27"/>
        <v>0.0018915212559701142</v>
      </c>
    </row>
    <row r="237" spans="1:10" ht="25.5" customHeight="1">
      <c r="A237" s="578"/>
      <c r="B237" s="579"/>
      <c r="C237" s="590" t="s">
        <v>90</v>
      </c>
      <c r="D237" s="590"/>
      <c r="E237" s="392">
        <f>E231</f>
        <v>25400</v>
      </c>
      <c r="F237" s="392">
        <f>F231</f>
        <v>24360</v>
      </c>
      <c r="G237" s="392">
        <f>G231</f>
        <v>25400</v>
      </c>
      <c r="H237" s="393">
        <f t="shared" si="28"/>
        <v>104.26929392446634</v>
      </c>
      <c r="I237" s="394">
        <f t="shared" si="26"/>
        <v>100</v>
      </c>
      <c r="J237" s="405">
        <f t="shared" si="27"/>
        <v>0.12011159975410224</v>
      </c>
    </row>
    <row r="238" spans="1:10" ht="9.75" customHeight="1">
      <c r="A238" s="580"/>
      <c r="B238" s="581"/>
      <c r="C238" s="584" t="s">
        <v>240</v>
      </c>
      <c r="D238" s="585"/>
      <c r="E238" s="397"/>
      <c r="F238" s="180"/>
      <c r="G238" s="180"/>
      <c r="H238" s="180"/>
      <c r="I238" s="180"/>
      <c r="J238" s="441"/>
    </row>
    <row r="239" spans="1:10" ht="9.75" customHeight="1">
      <c r="A239" s="580"/>
      <c r="B239" s="581"/>
      <c r="C239" s="586"/>
      <c r="D239" s="585"/>
      <c r="E239" s="398"/>
      <c r="F239" s="181"/>
      <c r="G239" s="181"/>
      <c r="H239" s="181"/>
      <c r="I239" s="396"/>
      <c r="J239" s="442"/>
    </row>
    <row r="240" spans="1:10" ht="30" customHeight="1">
      <c r="A240" s="580"/>
      <c r="B240" s="581"/>
      <c r="C240" s="586"/>
      <c r="D240" s="585"/>
      <c r="E240" s="399"/>
      <c r="F240" s="182"/>
      <c r="G240" s="182"/>
      <c r="H240" s="182"/>
      <c r="I240" s="400"/>
      <c r="J240" s="443"/>
    </row>
    <row r="241" spans="1:10" ht="14.25" customHeight="1">
      <c r="A241" s="141"/>
      <c r="B241" s="25">
        <v>412000</v>
      </c>
      <c r="C241" s="19"/>
      <c r="D241" s="34" t="s">
        <v>145</v>
      </c>
      <c r="E241" s="415">
        <f>SUM(E242:E245)</f>
        <v>53400</v>
      </c>
      <c r="F241" s="415">
        <f>SUM(F242:F245)</f>
        <v>53400</v>
      </c>
      <c r="G241" s="415">
        <f>SUM(G242:G245)</f>
        <v>52400</v>
      </c>
      <c r="H241" s="415">
        <f>G241/F241*100</f>
        <v>98.12734082397003</v>
      </c>
      <c r="I241" s="407">
        <f aca="true" t="shared" si="29" ref="I241:I262">IF(E241&gt;0,G241/E241*100,0)</f>
        <v>98.12734082397003</v>
      </c>
      <c r="J241" s="417">
        <f aca="true" t="shared" si="30" ref="J241:J262">G241/$G$491*100</f>
        <v>0.2477892845320849</v>
      </c>
    </row>
    <row r="242" spans="1:10" ht="12.75">
      <c r="A242" s="42" t="s">
        <v>51</v>
      </c>
      <c r="B242" s="35"/>
      <c r="C242" s="40">
        <v>412700</v>
      </c>
      <c r="D242" s="35" t="s">
        <v>50</v>
      </c>
      <c r="E242" s="204">
        <v>2000</v>
      </c>
      <c r="F242" s="204">
        <v>2000</v>
      </c>
      <c r="G242" s="204">
        <v>2000</v>
      </c>
      <c r="H242" s="218">
        <f aca="true" t="shared" si="31" ref="H242:H262">G242/F242*100</f>
        <v>100</v>
      </c>
      <c r="I242" s="349">
        <f t="shared" si="29"/>
        <v>100</v>
      </c>
      <c r="J242" s="351">
        <f t="shared" si="30"/>
        <v>0.00945760627985057</v>
      </c>
    </row>
    <row r="243" spans="1:10" ht="12.75">
      <c r="A243" s="141" t="s">
        <v>51</v>
      </c>
      <c r="B243" s="35"/>
      <c r="C243" s="40">
        <v>412700</v>
      </c>
      <c r="D243" s="32" t="s">
        <v>112</v>
      </c>
      <c r="E243" s="204">
        <v>51000</v>
      </c>
      <c r="F243" s="204">
        <v>51000</v>
      </c>
      <c r="G243" s="204">
        <v>50000</v>
      </c>
      <c r="H243" s="218">
        <f t="shared" si="31"/>
        <v>98.0392156862745</v>
      </c>
      <c r="I243" s="349">
        <f t="shared" si="29"/>
        <v>98.0392156862745</v>
      </c>
      <c r="J243" s="351">
        <f t="shared" si="30"/>
        <v>0.23644015699626425</v>
      </c>
    </row>
    <row r="244" spans="1:10" ht="12.75" hidden="1">
      <c r="A244" s="141" t="s">
        <v>368</v>
      </c>
      <c r="B244" s="35"/>
      <c r="C244" s="40">
        <v>412700</v>
      </c>
      <c r="D244" s="32" t="s">
        <v>375</v>
      </c>
      <c r="E244" s="204">
        <v>0</v>
      </c>
      <c r="F244" s="204"/>
      <c r="G244" s="204"/>
      <c r="H244" s="218" t="e">
        <f t="shared" si="31"/>
        <v>#DIV/0!</v>
      </c>
      <c r="I244" s="349">
        <f t="shared" si="29"/>
        <v>0</v>
      </c>
      <c r="J244" s="351">
        <f t="shared" si="30"/>
        <v>0</v>
      </c>
    </row>
    <row r="245" spans="1:10" ht="12.75">
      <c r="A245" s="141" t="s">
        <v>28</v>
      </c>
      <c r="B245" s="35"/>
      <c r="C245" s="19">
        <v>412900</v>
      </c>
      <c r="D245" s="49" t="s">
        <v>0</v>
      </c>
      <c r="E245" s="204">
        <v>400</v>
      </c>
      <c r="F245" s="204">
        <v>400</v>
      </c>
      <c r="G245" s="204">
        <v>400</v>
      </c>
      <c r="H245" s="218">
        <f t="shared" si="31"/>
        <v>100</v>
      </c>
      <c r="I245" s="349">
        <f t="shared" si="29"/>
        <v>100</v>
      </c>
      <c r="J245" s="351">
        <f t="shared" si="30"/>
        <v>0.0018915212559701142</v>
      </c>
    </row>
    <row r="246" spans="1:10" ht="14.25" customHeight="1">
      <c r="A246" s="141"/>
      <c r="B246" s="78">
        <v>414000</v>
      </c>
      <c r="C246" s="40"/>
      <c r="D246" s="107" t="s">
        <v>201</v>
      </c>
      <c r="E246" s="193">
        <f>SUM(E247)</f>
        <v>400000</v>
      </c>
      <c r="F246" s="193">
        <f>SUM(F247)</f>
        <v>400000</v>
      </c>
      <c r="G246" s="193">
        <f>SUM(G247)</f>
        <v>400000</v>
      </c>
      <c r="H246" s="193">
        <f t="shared" si="31"/>
        <v>100</v>
      </c>
      <c r="I246" s="192">
        <f t="shared" si="29"/>
        <v>100</v>
      </c>
      <c r="J246" s="347">
        <f t="shared" si="30"/>
        <v>1.891521255970114</v>
      </c>
    </row>
    <row r="247" spans="1:10" ht="12.75">
      <c r="A247" s="141" t="s">
        <v>51</v>
      </c>
      <c r="B247" s="35"/>
      <c r="C247" s="40">
        <v>414100</v>
      </c>
      <c r="D247" s="41" t="s">
        <v>203</v>
      </c>
      <c r="E247" s="218">
        <v>400000</v>
      </c>
      <c r="F247" s="218">
        <v>400000</v>
      </c>
      <c r="G247" s="218">
        <v>400000</v>
      </c>
      <c r="H247" s="218">
        <f t="shared" si="31"/>
        <v>100</v>
      </c>
      <c r="I247" s="349">
        <f t="shared" si="29"/>
        <v>100</v>
      </c>
      <c r="J247" s="351">
        <f t="shared" si="30"/>
        <v>1.891521255970114</v>
      </c>
    </row>
    <row r="248" spans="1:10" ht="12.75">
      <c r="A248" s="141"/>
      <c r="B248" s="78">
        <v>415000</v>
      </c>
      <c r="C248" s="40"/>
      <c r="D248" s="213" t="s">
        <v>159</v>
      </c>
      <c r="E248" s="193">
        <f>SUM(E249:E250)</f>
        <v>5000</v>
      </c>
      <c r="F248" s="193">
        <f>SUM(F249:F250)</f>
        <v>0</v>
      </c>
      <c r="G248" s="193">
        <f>SUM(G249:G250)</f>
        <v>0</v>
      </c>
      <c r="H248" s="193" t="e">
        <f t="shared" si="31"/>
        <v>#DIV/0!</v>
      </c>
      <c r="I248" s="192">
        <f t="shared" si="29"/>
        <v>0</v>
      </c>
      <c r="J248" s="347">
        <f t="shared" si="30"/>
        <v>0</v>
      </c>
    </row>
    <row r="249" spans="1:10" ht="12.75">
      <c r="A249" s="141" t="s">
        <v>51</v>
      </c>
      <c r="B249" s="35"/>
      <c r="C249" s="40">
        <v>415200</v>
      </c>
      <c r="D249" s="41" t="s">
        <v>369</v>
      </c>
      <c r="E249" s="204">
        <v>5000</v>
      </c>
      <c r="F249" s="204">
        <v>0</v>
      </c>
      <c r="G249" s="204">
        <v>0</v>
      </c>
      <c r="H249" s="218" t="e">
        <f t="shared" si="31"/>
        <v>#DIV/0!</v>
      </c>
      <c r="I249" s="349">
        <f t="shared" si="29"/>
        <v>0</v>
      </c>
      <c r="J249" s="351">
        <f t="shared" si="30"/>
        <v>0</v>
      </c>
    </row>
    <row r="250" spans="1:10" ht="12.75" hidden="1">
      <c r="A250" s="141" t="s">
        <v>51</v>
      </c>
      <c r="B250" s="35"/>
      <c r="C250" s="40">
        <v>415200</v>
      </c>
      <c r="D250" s="41" t="s">
        <v>397</v>
      </c>
      <c r="E250" s="204">
        <v>0</v>
      </c>
      <c r="F250" s="204"/>
      <c r="G250" s="204"/>
      <c r="H250" s="218" t="e">
        <f t="shared" si="31"/>
        <v>#DIV/0!</v>
      </c>
      <c r="I250" s="349">
        <f t="shared" si="29"/>
        <v>0</v>
      </c>
      <c r="J250" s="351">
        <f t="shared" si="30"/>
        <v>0</v>
      </c>
    </row>
    <row r="251" spans="1:10" ht="14.25" customHeight="1">
      <c r="A251" s="141"/>
      <c r="B251" s="25">
        <v>416000</v>
      </c>
      <c r="C251" s="40"/>
      <c r="D251" s="34" t="s">
        <v>1</v>
      </c>
      <c r="E251" s="269">
        <f>SUM(E252:E252)</f>
        <v>20000</v>
      </c>
      <c r="F251" s="269">
        <f>SUM(F252:F252)</f>
        <v>11500</v>
      </c>
      <c r="G251" s="269">
        <f>SUM(G252:G252)</f>
        <v>15000</v>
      </c>
      <c r="H251" s="193">
        <f t="shared" si="31"/>
        <v>130.43478260869566</v>
      </c>
      <c r="I251" s="192">
        <f t="shared" si="29"/>
        <v>75</v>
      </c>
      <c r="J251" s="347">
        <f t="shared" si="30"/>
        <v>0.07093204709887928</v>
      </c>
    </row>
    <row r="252" spans="1:10" ht="12.75">
      <c r="A252" s="141" t="s">
        <v>51</v>
      </c>
      <c r="B252" s="35"/>
      <c r="C252" s="39">
        <v>416100</v>
      </c>
      <c r="D252" s="32" t="s">
        <v>207</v>
      </c>
      <c r="E252" s="204">
        <v>20000</v>
      </c>
      <c r="F252" s="204">
        <v>11500</v>
      </c>
      <c r="G252" s="204">
        <v>15000</v>
      </c>
      <c r="H252" s="218">
        <f t="shared" si="31"/>
        <v>130.43478260869566</v>
      </c>
      <c r="I252" s="349">
        <f t="shared" si="29"/>
        <v>75</v>
      </c>
      <c r="J252" s="351">
        <f t="shared" si="30"/>
        <v>0.07093204709887928</v>
      </c>
    </row>
    <row r="253" spans="1:10" ht="24">
      <c r="A253" s="141"/>
      <c r="B253" s="35"/>
      <c r="C253" s="39"/>
      <c r="D253" s="34" t="s">
        <v>409</v>
      </c>
      <c r="E253" s="74">
        <f>SUM(E254:E255)</f>
        <v>180000</v>
      </c>
      <c r="F253" s="74">
        <f>SUM(F254:F255)</f>
        <v>180000</v>
      </c>
      <c r="G253" s="74">
        <f>SUM(G254:G255)</f>
        <v>410000</v>
      </c>
      <c r="H253" s="193">
        <f t="shared" si="31"/>
        <v>227.77777777777777</v>
      </c>
      <c r="I253" s="192">
        <f t="shared" si="29"/>
        <v>227.77777777777777</v>
      </c>
      <c r="J253" s="347">
        <f t="shared" si="30"/>
        <v>1.938809287369367</v>
      </c>
    </row>
    <row r="254" spans="1:10" ht="24">
      <c r="A254" s="141" t="s">
        <v>45</v>
      </c>
      <c r="B254" s="35"/>
      <c r="C254" s="39">
        <v>412500</v>
      </c>
      <c r="D254" s="32" t="s">
        <v>410</v>
      </c>
      <c r="E254" s="204">
        <v>50000</v>
      </c>
      <c r="F254" s="204">
        <v>50000</v>
      </c>
      <c r="G254" s="204">
        <v>70000</v>
      </c>
      <c r="H254" s="218">
        <f t="shared" si="31"/>
        <v>140</v>
      </c>
      <c r="I254" s="349">
        <f t="shared" si="29"/>
        <v>140</v>
      </c>
      <c r="J254" s="351">
        <f t="shared" si="30"/>
        <v>0.33101621979477</v>
      </c>
    </row>
    <row r="255" spans="1:10" ht="24.75" customHeight="1">
      <c r="A255" s="141" t="s">
        <v>45</v>
      </c>
      <c r="B255" s="35"/>
      <c r="C255" s="39">
        <v>511200</v>
      </c>
      <c r="D255" s="32" t="s">
        <v>436</v>
      </c>
      <c r="E255" s="204">
        <v>130000</v>
      </c>
      <c r="F255" s="204">
        <v>130000</v>
      </c>
      <c r="G255" s="204">
        <v>340000</v>
      </c>
      <c r="H255" s="218">
        <f t="shared" si="31"/>
        <v>261.53846153846155</v>
      </c>
      <c r="I255" s="349">
        <f t="shared" si="29"/>
        <v>261.53846153846155</v>
      </c>
      <c r="J255" s="351">
        <f t="shared" si="30"/>
        <v>1.607793067574597</v>
      </c>
    </row>
    <row r="256" spans="1:10" ht="26.25" customHeight="1">
      <c r="A256" s="141"/>
      <c r="B256" s="35"/>
      <c r="C256" s="90"/>
      <c r="D256" s="61" t="s">
        <v>128</v>
      </c>
      <c r="E256" s="193">
        <f>SUM(E257:E261)</f>
        <v>180000</v>
      </c>
      <c r="F256" s="193">
        <f>SUM(F257:F261)</f>
        <v>54000</v>
      </c>
      <c r="G256" s="193">
        <f>SUM(G257:G261)</f>
        <v>262000</v>
      </c>
      <c r="H256" s="193">
        <f t="shared" si="31"/>
        <v>485.1851851851852</v>
      </c>
      <c r="I256" s="192">
        <f t="shared" si="29"/>
        <v>145.55555555555554</v>
      </c>
      <c r="J256" s="347">
        <f t="shared" si="30"/>
        <v>1.2389464226604248</v>
      </c>
    </row>
    <row r="257" spans="1:10" ht="26.25" customHeight="1">
      <c r="A257" s="42" t="s">
        <v>187</v>
      </c>
      <c r="B257" s="35"/>
      <c r="C257" s="40">
        <v>412700</v>
      </c>
      <c r="D257" s="51" t="s">
        <v>129</v>
      </c>
      <c r="E257" s="204">
        <v>20000</v>
      </c>
      <c r="F257" s="204">
        <v>20000</v>
      </c>
      <c r="G257" s="204">
        <v>10000</v>
      </c>
      <c r="H257" s="218">
        <f t="shared" si="31"/>
        <v>50</v>
      </c>
      <c r="I257" s="349">
        <f t="shared" si="29"/>
        <v>50</v>
      </c>
      <c r="J257" s="351">
        <f t="shared" si="30"/>
        <v>0.04728803139925285</v>
      </c>
    </row>
    <row r="258" spans="1:10" ht="15" customHeight="1">
      <c r="A258" s="42" t="s">
        <v>51</v>
      </c>
      <c r="B258" s="35"/>
      <c r="C258" s="39">
        <v>412800</v>
      </c>
      <c r="D258" s="51" t="s">
        <v>341</v>
      </c>
      <c r="E258" s="204">
        <v>20000</v>
      </c>
      <c r="F258" s="204">
        <v>10000</v>
      </c>
      <c r="G258" s="204">
        <v>40000</v>
      </c>
      <c r="H258" s="218">
        <f t="shared" si="31"/>
        <v>400</v>
      </c>
      <c r="I258" s="349">
        <f t="shared" si="29"/>
        <v>200</v>
      </c>
      <c r="J258" s="351">
        <f t="shared" si="30"/>
        <v>0.1891521255970114</v>
      </c>
    </row>
    <row r="259" spans="1:10" ht="15" customHeight="1">
      <c r="A259" s="42" t="s">
        <v>185</v>
      </c>
      <c r="B259" s="35"/>
      <c r="C259" s="39">
        <v>415200</v>
      </c>
      <c r="D259" s="65" t="s">
        <v>567</v>
      </c>
      <c r="E259" s="204">
        <v>0</v>
      </c>
      <c r="F259" s="204">
        <v>0</v>
      </c>
      <c r="G259" s="204">
        <v>62000</v>
      </c>
      <c r="H259" s="218" t="e">
        <f t="shared" si="31"/>
        <v>#DIV/0!</v>
      </c>
      <c r="I259" s="349">
        <f t="shared" si="29"/>
        <v>0</v>
      </c>
      <c r="J259" s="351">
        <f t="shared" si="30"/>
        <v>0.29318579467536765</v>
      </c>
    </row>
    <row r="260" spans="1:10" ht="26.25" customHeight="1">
      <c r="A260" s="42" t="s">
        <v>51</v>
      </c>
      <c r="B260" s="35"/>
      <c r="C260" s="39">
        <v>511100</v>
      </c>
      <c r="D260" s="97" t="s">
        <v>306</v>
      </c>
      <c r="E260" s="204">
        <v>10000</v>
      </c>
      <c r="F260" s="204">
        <v>10000</v>
      </c>
      <c r="G260" s="204">
        <v>0</v>
      </c>
      <c r="H260" s="218">
        <f t="shared" si="31"/>
        <v>0</v>
      </c>
      <c r="I260" s="349">
        <f t="shared" si="29"/>
        <v>0</v>
      </c>
      <c r="J260" s="351">
        <f t="shared" si="30"/>
        <v>0</v>
      </c>
    </row>
    <row r="261" spans="1:10" ht="24.75" customHeight="1">
      <c r="A261" s="42" t="s">
        <v>185</v>
      </c>
      <c r="B261" s="35"/>
      <c r="C261" s="39">
        <v>511200</v>
      </c>
      <c r="D261" s="97" t="s">
        <v>290</v>
      </c>
      <c r="E261" s="204">
        <v>130000</v>
      </c>
      <c r="F261" s="204">
        <v>14000</v>
      </c>
      <c r="G261" s="204">
        <v>150000</v>
      </c>
      <c r="H261" s="218">
        <f t="shared" si="31"/>
        <v>1071.4285714285713</v>
      </c>
      <c r="I261" s="349">
        <f t="shared" si="29"/>
        <v>115.38461538461537</v>
      </c>
      <c r="J261" s="351">
        <f t="shared" si="30"/>
        <v>0.7093204709887928</v>
      </c>
    </row>
    <row r="262" spans="1:10" ht="24.75" customHeight="1">
      <c r="A262" s="578"/>
      <c r="B262" s="579"/>
      <c r="C262" s="590" t="s">
        <v>91</v>
      </c>
      <c r="D262" s="590"/>
      <c r="E262" s="392">
        <f>E241+E246+E248+E251+E253+E256</f>
        <v>838400</v>
      </c>
      <c r="F262" s="392">
        <f>F241+F246+F248+F251+F253+F256</f>
        <v>698900</v>
      </c>
      <c r="G262" s="392">
        <f>G241+G246+G248+G251+G253+G256</f>
        <v>1139400</v>
      </c>
      <c r="H262" s="393">
        <f t="shared" si="31"/>
        <v>163.02761482329376</v>
      </c>
      <c r="I262" s="394">
        <f t="shared" si="29"/>
        <v>135.9017175572519</v>
      </c>
      <c r="J262" s="395">
        <f t="shared" si="30"/>
        <v>5.387998297630869</v>
      </c>
    </row>
    <row r="263" spans="1:10" ht="21.75" customHeight="1">
      <c r="A263" s="578"/>
      <c r="B263" s="579"/>
      <c r="C263" s="584" t="s">
        <v>568</v>
      </c>
      <c r="D263" s="585"/>
      <c r="E263" s="397"/>
      <c r="F263" s="180"/>
      <c r="G263" s="180"/>
      <c r="H263" s="180"/>
      <c r="I263" s="416"/>
      <c r="J263" s="441"/>
    </row>
    <row r="264" spans="1:10" ht="18.75" customHeight="1">
      <c r="A264" s="578"/>
      <c r="B264" s="579"/>
      <c r="C264" s="586"/>
      <c r="D264" s="585"/>
      <c r="E264" s="399"/>
      <c r="F264" s="182"/>
      <c r="G264" s="182"/>
      <c r="H264" s="182"/>
      <c r="I264" s="400"/>
      <c r="J264" s="443"/>
    </row>
    <row r="265" spans="1:10" ht="14.25" customHeight="1">
      <c r="A265" s="141"/>
      <c r="B265" s="25">
        <v>412000</v>
      </c>
      <c r="C265" s="19"/>
      <c r="D265" s="34" t="s">
        <v>145</v>
      </c>
      <c r="E265" s="415">
        <f>SUM(E266:E275)</f>
        <v>405400</v>
      </c>
      <c r="F265" s="415">
        <f>SUM(F266:F275)</f>
        <v>501272.12</v>
      </c>
      <c r="G265" s="415">
        <f>SUM(G266:G275)</f>
        <v>366000</v>
      </c>
      <c r="H265" s="415">
        <f>G265/F265*100</f>
        <v>73.0142342646146</v>
      </c>
      <c r="I265" s="407">
        <f aca="true" t="shared" si="32" ref="I265:I281">IF(E265&gt;0,G265/E265*100,0)</f>
        <v>90.28120374938332</v>
      </c>
      <c r="J265" s="417">
        <f aca="true" t="shared" si="33" ref="J265:J281">G265/$G$491*100</f>
        <v>1.7307419492126541</v>
      </c>
    </row>
    <row r="266" spans="1:10" ht="24.75" customHeight="1">
      <c r="A266" s="141" t="s">
        <v>28</v>
      </c>
      <c r="B266" s="35"/>
      <c r="C266" s="19">
        <v>412200</v>
      </c>
      <c r="D266" s="32" t="s">
        <v>147</v>
      </c>
      <c r="E266" s="204">
        <v>200000</v>
      </c>
      <c r="F266" s="204">
        <v>226500</v>
      </c>
      <c r="G266" s="204">
        <v>220000</v>
      </c>
      <c r="H266" s="218">
        <f aca="true" t="shared" si="34" ref="H266:H281">G266/F266*100</f>
        <v>97.13024282560706</v>
      </c>
      <c r="I266" s="349">
        <f t="shared" si="32"/>
        <v>110.00000000000001</v>
      </c>
      <c r="J266" s="351">
        <f t="shared" si="33"/>
        <v>1.0403366907835627</v>
      </c>
    </row>
    <row r="267" spans="1:10" ht="12.75" customHeight="1">
      <c r="A267" s="141" t="s">
        <v>28</v>
      </c>
      <c r="B267" s="35"/>
      <c r="C267" s="19">
        <v>412300</v>
      </c>
      <c r="D267" s="35" t="s">
        <v>148</v>
      </c>
      <c r="E267" s="204">
        <v>63000</v>
      </c>
      <c r="F267" s="204">
        <v>53000</v>
      </c>
      <c r="G267" s="204">
        <v>55000</v>
      </c>
      <c r="H267" s="218">
        <f t="shared" si="34"/>
        <v>103.77358490566037</v>
      </c>
      <c r="I267" s="349">
        <f t="shared" si="32"/>
        <v>87.3015873015873</v>
      </c>
      <c r="J267" s="351">
        <f t="shared" si="33"/>
        <v>0.2600841726958907</v>
      </c>
    </row>
    <row r="268" spans="1:10" ht="12.75" customHeight="1">
      <c r="A268" s="141" t="s">
        <v>28</v>
      </c>
      <c r="B268" s="35"/>
      <c r="C268" s="19">
        <v>412500</v>
      </c>
      <c r="D268" s="35" t="s">
        <v>26</v>
      </c>
      <c r="E268" s="204">
        <v>23000</v>
      </c>
      <c r="F268" s="204">
        <v>49472.12</v>
      </c>
      <c r="G268" s="204">
        <v>25000</v>
      </c>
      <c r="H268" s="218">
        <f t="shared" si="34"/>
        <v>50.533512612760475</v>
      </c>
      <c r="I268" s="349">
        <f t="shared" si="32"/>
        <v>108.69565217391303</v>
      </c>
      <c r="J268" s="351">
        <f t="shared" si="33"/>
        <v>0.11822007849813213</v>
      </c>
    </row>
    <row r="269" spans="1:10" ht="13.5" customHeight="1">
      <c r="A269" s="141" t="s">
        <v>28</v>
      </c>
      <c r="B269" s="35"/>
      <c r="C269" s="19">
        <v>412600</v>
      </c>
      <c r="D269" s="32" t="s">
        <v>452</v>
      </c>
      <c r="E269" s="204">
        <v>5000</v>
      </c>
      <c r="F269" s="204">
        <v>4000</v>
      </c>
      <c r="G269" s="204">
        <v>5000</v>
      </c>
      <c r="H269" s="218">
        <f t="shared" si="34"/>
        <v>125</v>
      </c>
      <c r="I269" s="349">
        <f t="shared" si="32"/>
        <v>100</v>
      </c>
      <c r="J269" s="351">
        <f t="shared" si="33"/>
        <v>0.023644015699626424</v>
      </c>
    </row>
    <row r="270" spans="1:10" ht="12.75" customHeight="1">
      <c r="A270" s="141" t="s">
        <v>28</v>
      </c>
      <c r="B270" s="35"/>
      <c r="C270" s="19">
        <v>412700</v>
      </c>
      <c r="D270" s="32" t="s">
        <v>332</v>
      </c>
      <c r="E270" s="204">
        <v>70000</v>
      </c>
      <c r="F270" s="204">
        <v>84000</v>
      </c>
      <c r="G270" s="189">
        <v>55000</v>
      </c>
      <c r="H270" s="218">
        <f t="shared" si="34"/>
        <v>65.47619047619048</v>
      </c>
      <c r="I270" s="349">
        <f t="shared" si="32"/>
        <v>78.57142857142857</v>
      </c>
      <c r="J270" s="351">
        <f t="shared" si="33"/>
        <v>0.2600841726958907</v>
      </c>
    </row>
    <row r="271" spans="1:10" ht="12.75" customHeight="1">
      <c r="A271" s="141" t="s">
        <v>28</v>
      </c>
      <c r="B271" s="35"/>
      <c r="C271" s="19">
        <v>412900</v>
      </c>
      <c r="D271" s="32" t="s">
        <v>29</v>
      </c>
      <c r="E271" s="204">
        <v>400</v>
      </c>
      <c r="F271" s="204">
        <v>40</v>
      </c>
      <c r="G271" s="204">
        <v>0</v>
      </c>
      <c r="H271" s="218">
        <f t="shared" si="34"/>
        <v>0</v>
      </c>
      <c r="I271" s="349">
        <f t="shared" si="32"/>
        <v>0</v>
      </c>
      <c r="J271" s="351">
        <f t="shared" si="33"/>
        <v>0</v>
      </c>
    </row>
    <row r="272" spans="1:10" ht="15" customHeight="1">
      <c r="A272" s="141" t="s">
        <v>28</v>
      </c>
      <c r="B272" s="35"/>
      <c r="C272" s="19">
        <v>412900</v>
      </c>
      <c r="D272" s="32" t="s">
        <v>331</v>
      </c>
      <c r="E272" s="189">
        <v>3000</v>
      </c>
      <c r="F272" s="189">
        <v>2560</v>
      </c>
      <c r="G272" s="189">
        <v>3000</v>
      </c>
      <c r="H272" s="218">
        <f t="shared" si="34"/>
        <v>117.1875</v>
      </c>
      <c r="I272" s="349">
        <f t="shared" si="32"/>
        <v>100</v>
      </c>
      <c r="J272" s="351">
        <f t="shared" si="33"/>
        <v>0.014186409419775853</v>
      </c>
    </row>
    <row r="273" spans="1:10" ht="12.75">
      <c r="A273" s="141" t="s">
        <v>28</v>
      </c>
      <c r="B273" s="35"/>
      <c r="C273" s="19">
        <v>412900</v>
      </c>
      <c r="D273" s="32" t="s">
        <v>154</v>
      </c>
      <c r="E273" s="189">
        <v>41000</v>
      </c>
      <c r="F273" s="189">
        <v>67700</v>
      </c>
      <c r="G273" s="189">
        <v>3000</v>
      </c>
      <c r="H273" s="218">
        <f t="shared" si="34"/>
        <v>4.431314623338257</v>
      </c>
      <c r="I273" s="349">
        <f t="shared" si="32"/>
        <v>7.317073170731707</v>
      </c>
      <c r="J273" s="351">
        <f t="shared" si="33"/>
        <v>0.014186409419775853</v>
      </c>
    </row>
    <row r="274" spans="1:10" ht="12.75" customHeight="1">
      <c r="A274" s="141" t="s">
        <v>28</v>
      </c>
      <c r="B274" s="35"/>
      <c r="C274" s="19">
        <v>412900</v>
      </c>
      <c r="D274" s="32" t="s">
        <v>362</v>
      </c>
      <c r="E274" s="189">
        <v>0</v>
      </c>
      <c r="F274" s="189">
        <v>8000</v>
      </c>
      <c r="G274" s="189">
        <v>0</v>
      </c>
      <c r="H274" s="218">
        <f>G274/F274*100</f>
        <v>0</v>
      </c>
      <c r="I274" s="349">
        <f>IF(E274&gt;0,G274/E274*100,0)</f>
        <v>0</v>
      </c>
      <c r="J274" s="351">
        <f t="shared" si="33"/>
        <v>0</v>
      </c>
    </row>
    <row r="275" spans="1:10" ht="36" customHeight="1">
      <c r="A275" s="141" t="s">
        <v>28</v>
      </c>
      <c r="B275" s="35"/>
      <c r="C275" s="19">
        <v>412900</v>
      </c>
      <c r="D275" s="32" t="s">
        <v>470</v>
      </c>
      <c r="E275" s="189">
        <v>0</v>
      </c>
      <c r="F275" s="189">
        <v>6000</v>
      </c>
      <c r="G275" s="189">
        <v>0</v>
      </c>
      <c r="H275" s="218">
        <f t="shared" si="34"/>
        <v>0</v>
      </c>
      <c r="I275" s="349">
        <f t="shared" si="32"/>
        <v>0</v>
      </c>
      <c r="J275" s="351">
        <f t="shared" si="33"/>
        <v>0</v>
      </c>
    </row>
    <row r="276" spans="1:10" ht="14.25" customHeight="1">
      <c r="A276" s="141"/>
      <c r="B276" s="25">
        <v>511000</v>
      </c>
      <c r="C276" s="35"/>
      <c r="D276" s="34" t="s">
        <v>163</v>
      </c>
      <c r="E276" s="193">
        <f>SUM(E277:E278)</f>
        <v>55000</v>
      </c>
      <c r="F276" s="193">
        <f>SUM(F277:F278)</f>
        <v>70600</v>
      </c>
      <c r="G276" s="193">
        <f>SUM(G277:G278)</f>
        <v>55000</v>
      </c>
      <c r="H276" s="193">
        <f t="shared" si="34"/>
        <v>77.90368271954674</v>
      </c>
      <c r="I276" s="192">
        <f t="shared" si="32"/>
        <v>100</v>
      </c>
      <c r="J276" s="347">
        <f t="shared" si="33"/>
        <v>0.2600841726958907</v>
      </c>
    </row>
    <row r="277" spans="1:10" ht="24" customHeight="1">
      <c r="A277" s="141" t="s">
        <v>28</v>
      </c>
      <c r="B277" s="35"/>
      <c r="C277" s="44">
        <v>511200</v>
      </c>
      <c r="D277" s="45" t="s">
        <v>173</v>
      </c>
      <c r="E277" s="204">
        <v>10000</v>
      </c>
      <c r="F277" s="204">
        <v>1600</v>
      </c>
      <c r="G277" s="204">
        <v>10000</v>
      </c>
      <c r="H277" s="218">
        <f t="shared" si="34"/>
        <v>625</v>
      </c>
      <c r="I277" s="349">
        <f t="shared" si="32"/>
        <v>100</v>
      </c>
      <c r="J277" s="351">
        <f t="shared" si="33"/>
        <v>0.04728803139925285</v>
      </c>
    </row>
    <row r="278" spans="1:10" ht="12.75">
      <c r="A278" s="141" t="s">
        <v>28</v>
      </c>
      <c r="B278" s="35"/>
      <c r="C278" s="35">
        <v>511300</v>
      </c>
      <c r="D278" s="35" t="s">
        <v>2</v>
      </c>
      <c r="E278" s="204">
        <v>45000</v>
      </c>
      <c r="F278" s="204">
        <v>69000</v>
      </c>
      <c r="G278" s="204">
        <v>45000</v>
      </c>
      <c r="H278" s="218">
        <f t="shared" si="34"/>
        <v>65.21739130434783</v>
      </c>
      <c r="I278" s="349">
        <f t="shared" si="32"/>
        <v>100</v>
      </c>
      <c r="J278" s="351">
        <f t="shared" si="33"/>
        <v>0.21279614129663785</v>
      </c>
    </row>
    <row r="279" spans="1:10" ht="25.5" customHeight="1">
      <c r="A279" s="141"/>
      <c r="B279" s="25">
        <v>516000</v>
      </c>
      <c r="C279" s="35"/>
      <c r="D279" s="34" t="s">
        <v>387</v>
      </c>
      <c r="E279" s="193">
        <f>SUM(E280)</f>
        <v>9500</v>
      </c>
      <c r="F279" s="193">
        <f>SUM(F280)</f>
        <v>6204</v>
      </c>
      <c r="G279" s="193">
        <f>SUM(G280)</f>
        <v>7000</v>
      </c>
      <c r="H279" s="193">
        <f t="shared" si="34"/>
        <v>112.83043197936816</v>
      </c>
      <c r="I279" s="192">
        <f t="shared" si="32"/>
        <v>73.68421052631578</v>
      </c>
      <c r="J279" s="347">
        <f t="shared" si="33"/>
        <v>0.033101621979477</v>
      </c>
    </row>
    <row r="280" spans="1:10" ht="13.5" customHeight="1">
      <c r="A280" s="141" t="s">
        <v>28</v>
      </c>
      <c r="B280" s="35"/>
      <c r="C280" s="35">
        <v>516100</v>
      </c>
      <c r="D280" s="32" t="s">
        <v>302</v>
      </c>
      <c r="E280" s="191">
        <v>9500</v>
      </c>
      <c r="F280" s="191">
        <v>6204</v>
      </c>
      <c r="G280" s="191">
        <v>7000</v>
      </c>
      <c r="H280" s="218">
        <f t="shared" si="34"/>
        <v>112.83043197936816</v>
      </c>
      <c r="I280" s="349">
        <f t="shared" si="32"/>
        <v>73.68421052631578</v>
      </c>
      <c r="J280" s="351">
        <f t="shared" si="33"/>
        <v>0.033101621979477</v>
      </c>
    </row>
    <row r="281" spans="1:10" ht="25.5" customHeight="1">
      <c r="A281" s="578"/>
      <c r="B281" s="579"/>
      <c r="C281" s="590" t="s">
        <v>92</v>
      </c>
      <c r="D281" s="591"/>
      <c r="E281" s="392">
        <f>E265+E276+E279</f>
        <v>469900</v>
      </c>
      <c r="F281" s="392">
        <f>F265+F276+F279</f>
        <v>578076.12</v>
      </c>
      <c r="G281" s="392">
        <f>G265+G276+G279</f>
        <v>428000</v>
      </c>
      <c r="H281" s="393">
        <f t="shared" si="34"/>
        <v>74.03869234383873</v>
      </c>
      <c r="I281" s="394">
        <f t="shared" si="32"/>
        <v>91.08320919344541</v>
      </c>
      <c r="J281" s="395">
        <f t="shared" si="33"/>
        <v>2.023927743888022</v>
      </c>
    </row>
    <row r="282" spans="1:10" ht="12.75">
      <c r="A282" s="578"/>
      <c r="B282" s="579"/>
      <c r="C282" s="584" t="s">
        <v>329</v>
      </c>
      <c r="D282" s="585"/>
      <c r="E282" s="397"/>
      <c r="F282" s="180"/>
      <c r="G282" s="180"/>
      <c r="H282" s="180"/>
      <c r="I282" s="416"/>
      <c r="J282" s="441"/>
    </row>
    <row r="283" spans="1:10" ht="12.75">
      <c r="A283" s="578"/>
      <c r="B283" s="579"/>
      <c r="C283" s="586"/>
      <c r="D283" s="585"/>
      <c r="E283" s="398"/>
      <c r="F283" s="181"/>
      <c r="G283" s="181"/>
      <c r="H283" s="181"/>
      <c r="I283" s="396"/>
      <c r="J283" s="442"/>
    </row>
    <row r="284" spans="1:10" ht="11.25" customHeight="1">
      <c r="A284" s="578"/>
      <c r="B284" s="579"/>
      <c r="C284" s="586"/>
      <c r="D284" s="585"/>
      <c r="E284" s="399"/>
      <c r="F284" s="182"/>
      <c r="G284" s="182"/>
      <c r="H284" s="182"/>
      <c r="I284" s="400"/>
      <c r="J284" s="443"/>
    </row>
    <row r="285" spans="1:10" ht="15" customHeight="1">
      <c r="A285" s="141"/>
      <c r="B285" s="25">
        <v>412000</v>
      </c>
      <c r="C285" s="19"/>
      <c r="D285" s="34" t="s">
        <v>145</v>
      </c>
      <c r="E285" s="415">
        <f>SUM(E286:E292)</f>
        <v>28400</v>
      </c>
      <c r="F285" s="415">
        <f>SUM(F286:F292)</f>
        <v>28940</v>
      </c>
      <c r="G285" s="415">
        <f>SUM(G286:G292)</f>
        <v>27400</v>
      </c>
      <c r="H285" s="415">
        <f>G285/F285*100</f>
        <v>94.67864547339323</v>
      </c>
      <c r="I285" s="407">
        <f aca="true" t="shared" si="35" ref="I285:I300">IF(E285&gt;0,G285/E285*100,0)</f>
        <v>96.47887323943662</v>
      </c>
      <c r="J285" s="417">
        <f aca="true" t="shared" si="36" ref="J285:J300">G285/$G$491*100</f>
        <v>0.1295692060339528</v>
      </c>
    </row>
    <row r="286" spans="1:10" ht="24">
      <c r="A286" s="141" t="s">
        <v>60</v>
      </c>
      <c r="B286" s="25"/>
      <c r="C286" s="19">
        <v>412200</v>
      </c>
      <c r="D286" s="32" t="s">
        <v>147</v>
      </c>
      <c r="E286" s="204">
        <v>11000</v>
      </c>
      <c r="F286" s="204">
        <v>11000</v>
      </c>
      <c r="G286" s="204">
        <v>11000</v>
      </c>
      <c r="H286" s="218">
        <f aca="true" t="shared" si="37" ref="H286:H300">G286/F286*100</f>
        <v>100</v>
      </c>
      <c r="I286" s="349">
        <f t="shared" si="35"/>
        <v>100</v>
      </c>
      <c r="J286" s="351">
        <f t="shared" si="36"/>
        <v>0.05201683453917814</v>
      </c>
    </row>
    <row r="287" spans="1:10" ht="12.75">
      <c r="A287" s="141" t="s">
        <v>60</v>
      </c>
      <c r="B287" s="25"/>
      <c r="C287" s="19">
        <v>412300</v>
      </c>
      <c r="D287" s="35" t="s">
        <v>148</v>
      </c>
      <c r="E287" s="204">
        <v>500</v>
      </c>
      <c r="F287" s="204">
        <v>500</v>
      </c>
      <c r="G287" s="204">
        <v>500</v>
      </c>
      <c r="H287" s="218">
        <f t="shared" si="37"/>
        <v>100</v>
      </c>
      <c r="I287" s="349">
        <f t="shared" si="35"/>
        <v>100</v>
      </c>
      <c r="J287" s="351">
        <f t="shared" si="36"/>
        <v>0.0023644015699626425</v>
      </c>
    </row>
    <row r="288" spans="1:10" ht="12.75">
      <c r="A288" s="141" t="s">
        <v>60</v>
      </c>
      <c r="B288" s="25"/>
      <c r="C288" s="19">
        <v>412400</v>
      </c>
      <c r="D288" s="32" t="s">
        <v>149</v>
      </c>
      <c r="E288" s="204">
        <v>3000</v>
      </c>
      <c r="F288" s="204">
        <v>2940</v>
      </c>
      <c r="G288" s="204">
        <v>3000</v>
      </c>
      <c r="H288" s="218">
        <f t="shared" si="37"/>
        <v>102.04081632653062</v>
      </c>
      <c r="I288" s="349">
        <f t="shared" si="35"/>
        <v>100</v>
      </c>
      <c r="J288" s="351">
        <f t="shared" si="36"/>
        <v>0.014186409419775853</v>
      </c>
    </row>
    <row r="289" spans="1:10" ht="12.75">
      <c r="A289" s="141" t="s">
        <v>60</v>
      </c>
      <c r="B289" s="25"/>
      <c r="C289" s="19">
        <v>412500</v>
      </c>
      <c r="D289" s="35" t="s">
        <v>150</v>
      </c>
      <c r="E289" s="204">
        <v>8000</v>
      </c>
      <c r="F289" s="204">
        <v>6800</v>
      </c>
      <c r="G289" s="189">
        <v>7000</v>
      </c>
      <c r="H289" s="218">
        <f t="shared" si="37"/>
        <v>102.94117647058823</v>
      </c>
      <c r="I289" s="349">
        <f t="shared" si="35"/>
        <v>87.5</v>
      </c>
      <c r="J289" s="351">
        <f t="shared" si="36"/>
        <v>0.033101621979477</v>
      </c>
    </row>
    <row r="290" spans="1:10" ht="12.75">
      <c r="A290" s="141" t="s">
        <v>60</v>
      </c>
      <c r="B290" s="25"/>
      <c r="C290" s="80">
        <v>412700</v>
      </c>
      <c r="D290" s="80" t="s">
        <v>152</v>
      </c>
      <c r="E290" s="204">
        <v>3000</v>
      </c>
      <c r="F290" s="204">
        <v>2800</v>
      </c>
      <c r="G290" s="204">
        <v>3000</v>
      </c>
      <c r="H290" s="218">
        <f t="shared" si="37"/>
        <v>107.14285714285714</v>
      </c>
      <c r="I290" s="349">
        <f t="shared" si="35"/>
        <v>100</v>
      </c>
      <c r="J290" s="351">
        <f t="shared" si="36"/>
        <v>0.014186409419775853</v>
      </c>
    </row>
    <row r="291" spans="1:10" ht="12.75">
      <c r="A291" s="141" t="s">
        <v>60</v>
      </c>
      <c r="B291" s="25"/>
      <c r="C291" s="80">
        <v>412900</v>
      </c>
      <c r="D291" s="35" t="s">
        <v>0</v>
      </c>
      <c r="E291" s="204">
        <v>400</v>
      </c>
      <c r="F291" s="204">
        <v>400</v>
      </c>
      <c r="G291" s="204">
        <v>400</v>
      </c>
      <c r="H291" s="218">
        <f t="shared" si="37"/>
        <v>100</v>
      </c>
      <c r="I291" s="349">
        <f t="shared" si="35"/>
        <v>100</v>
      </c>
      <c r="J291" s="351">
        <f t="shared" si="36"/>
        <v>0.0018915212559701142</v>
      </c>
    </row>
    <row r="292" spans="1:10" ht="12.75">
      <c r="A292" s="141" t="s">
        <v>60</v>
      </c>
      <c r="B292" s="25"/>
      <c r="C292" s="80">
        <v>412900</v>
      </c>
      <c r="D292" s="80" t="s">
        <v>154</v>
      </c>
      <c r="E292" s="204">
        <v>2500</v>
      </c>
      <c r="F292" s="204">
        <v>4500</v>
      </c>
      <c r="G292" s="204">
        <v>2500</v>
      </c>
      <c r="H292" s="218">
        <f t="shared" si="37"/>
        <v>55.55555555555556</v>
      </c>
      <c r="I292" s="349">
        <f t="shared" si="35"/>
        <v>100</v>
      </c>
      <c r="J292" s="351">
        <f t="shared" si="36"/>
        <v>0.011822007849813212</v>
      </c>
    </row>
    <row r="293" spans="1:10" ht="12.75">
      <c r="A293" s="141"/>
      <c r="B293" s="25">
        <v>415000</v>
      </c>
      <c r="C293" s="80"/>
      <c r="D293" s="37" t="s">
        <v>159</v>
      </c>
      <c r="E293" s="193">
        <f>SUM(E294:E294)</f>
        <v>6500</v>
      </c>
      <c r="F293" s="193">
        <f>SUM(F294:F294)</f>
        <v>5850</v>
      </c>
      <c r="G293" s="193">
        <f>SUM(G294:G294)</f>
        <v>5000</v>
      </c>
      <c r="H293" s="193">
        <f t="shared" si="37"/>
        <v>85.47008547008546</v>
      </c>
      <c r="I293" s="192">
        <f t="shared" si="35"/>
        <v>76.92307692307693</v>
      </c>
      <c r="J293" s="347">
        <f t="shared" si="36"/>
        <v>0.023644015699626424</v>
      </c>
    </row>
    <row r="294" spans="1:10" ht="13.5" customHeight="1">
      <c r="A294" s="141" t="s">
        <v>60</v>
      </c>
      <c r="B294" s="25"/>
      <c r="C294" s="80">
        <v>415200</v>
      </c>
      <c r="D294" s="32" t="s">
        <v>370</v>
      </c>
      <c r="E294" s="218">
        <v>6500</v>
      </c>
      <c r="F294" s="218">
        <v>5850</v>
      </c>
      <c r="G294" s="289">
        <v>5000</v>
      </c>
      <c r="H294" s="218">
        <f t="shared" si="37"/>
        <v>85.47008547008546</v>
      </c>
      <c r="I294" s="349">
        <f t="shared" si="35"/>
        <v>76.92307692307693</v>
      </c>
      <c r="J294" s="351">
        <f t="shared" si="36"/>
        <v>0.023644015699626424</v>
      </c>
    </row>
    <row r="295" spans="1:17" ht="14.25" customHeight="1">
      <c r="A295" s="141"/>
      <c r="B295" s="25">
        <v>511000</v>
      </c>
      <c r="C295" s="19"/>
      <c r="D295" s="34" t="s">
        <v>163</v>
      </c>
      <c r="E295" s="193">
        <f>SUM(E296:E299)</f>
        <v>220000</v>
      </c>
      <c r="F295" s="193">
        <f>SUM(F296:F299)</f>
        <v>152286.5</v>
      </c>
      <c r="G295" s="193">
        <f>SUM(G296:G299)</f>
        <v>240000</v>
      </c>
      <c r="H295" s="193">
        <f t="shared" si="37"/>
        <v>157.59768594064477</v>
      </c>
      <c r="I295" s="192">
        <f t="shared" si="35"/>
        <v>109.09090909090908</v>
      </c>
      <c r="J295" s="347">
        <f t="shared" si="36"/>
        <v>1.1349127535820684</v>
      </c>
      <c r="K295" s="461"/>
      <c r="L295" s="470"/>
      <c r="M295" s="219"/>
      <c r="N295" s="219"/>
      <c r="O295" s="219"/>
      <c r="P295" s="219"/>
      <c r="Q295" s="219"/>
    </row>
    <row r="296" spans="1:17" ht="12.75" customHeight="1">
      <c r="A296" s="141" t="s">
        <v>60</v>
      </c>
      <c r="B296" s="25"/>
      <c r="C296" s="19">
        <v>511100</v>
      </c>
      <c r="D296" s="36" t="s">
        <v>62</v>
      </c>
      <c r="E296" s="204">
        <v>90000</v>
      </c>
      <c r="F296" s="204">
        <v>0</v>
      </c>
      <c r="G296" s="204">
        <v>200000</v>
      </c>
      <c r="H296" s="218" t="e">
        <f t="shared" si="37"/>
        <v>#DIV/0!</v>
      </c>
      <c r="I296" s="349">
        <f t="shared" si="35"/>
        <v>222.22222222222223</v>
      </c>
      <c r="J296" s="351">
        <f t="shared" si="36"/>
        <v>0.945760627985057</v>
      </c>
      <c r="K296" s="461"/>
      <c r="L296" s="470"/>
      <c r="M296" s="219"/>
      <c r="N296" s="219"/>
      <c r="O296" s="219"/>
      <c r="P296" s="219"/>
      <c r="Q296" s="219"/>
    </row>
    <row r="297" spans="1:17" ht="24" hidden="1">
      <c r="A297" s="141" t="s">
        <v>60</v>
      </c>
      <c r="B297" s="25"/>
      <c r="C297" s="19">
        <v>511200</v>
      </c>
      <c r="D297" s="45" t="s">
        <v>173</v>
      </c>
      <c r="E297" s="204">
        <v>0</v>
      </c>
      <c r="F297" s="204"/>
      <c r="G297" s="204"/>
      <c r="H297" s="218" t="e">
        <f t="shared" si="37"/>
        <v>#DIV/0!</v>
      </c>
      <c r="I297" s="349">
        <f t="shared" si="35"/>
        <v>0</v>
      </c>
      <c r="J297" s="351">
        <f t="shared" si="36"/>
        <v>0</v>
      </c>
      <c r="K297" s="461"/>
      <c r="L297" s="470"/>
      <c r="M297" s="219"/>
      <c r="N297" s="219"/>
      <c r="O297" s="219"/>
      <c r="P297" s="219"/>
      <c r="Q297" s="219"/>
    </row>
    <row r="298" spans="1:17" ht="12.75">
      <c r="A298" s="141" t="s">
        <v>60</v>
      </c>
      <c r="B298" s="25"/>
      <c r="C298" s="19">
        <v>511300</v>
      </c>
      <c r="D298" s="36" t="s">
        <v>2</v>
      </c>
      <c r="E298" s="72">
        <v>100000</v>
      </c>
      <c r="F298" s="72">
        <v>134000</v>
      </c>
      <c r="G298" s="72">
        <v>30000</v>
      </c>
      <c r="H298" s="218">
        <f t="shared" si="37"/>
        <v>22.388059701492537</v>
      </c>
      <c r="I298" s="349">
        <f t="shared" si="35"/>
        <v>30</v>
      </c>
      <c r="J298" s="351">
        <f t="shared" si="36"/>
        <v>0.14186409419775856</v>
      </c>
      <c r="K298" s="462"/>
      <c r="L298" s="471"/>
      <c r="M298" s="199"/>
      <c r="N298" s="199"/>
      <c r="O298" s="199"/>
      <c r="P298" s="199"/>
      <c r="Q298" s="199"/>
    </row>
    <row r="299" spans="1:17" ht="12.75">
      <c r="A299" s="214" t="s">
        <v>60</v>
      </c>
      <c r="B299" s="25"/>
      <c r="C299" s="19">
        <v>511400</v>
      </c>
      <c r="D299" s="36" t="s">
        <v>379</v>
      </c>
      <c r="E299" s="72">
        <v>30000</v>
      </c>
      <c r="F299" s="72">
        <v>18286.5</v>
      </c>
      <c r="G299" s="72">
        <v>10000</v>
      </c>
      <c r="H299" s="218">
        <f t="shared" si="37"/>
        <v>54.68515024745031</v>
      </c>
      <c r="I299" s="349">
        <f t="shared" si="35"/>
        <v>33.33333333333333</v>
      </c>
      <c r="J299" s="351">
        <f t="shared" si="36"/>
        <v>0.04728803139925285</v>
      </c>
      <c r="K299" s="462"/>
      <c r="L299" s="471"/>
      <c r="M299" s="199"/>
      <c r="N299" s="199"/>
      <c r="O299" s="199"/>
      <c r="P299" s="199"/>
      <c r="Q299" s="199"/>
    </row>
    <row r="300" spans="1:10" ht="30" customHeight="1">
      <c r="A300" s="578"/>
      <c r="B300" s="579"/>
      <c r="C300" s="590" t="s">
        <v>333</v>
      </c>
      <c r="D300" s="591"/>
      <c r="E300" s="73">
        <f>E285+E293+E295</f>
        <v>254900</v>
      </c>
      <c r="F300" s="73">
        <f>F285+F293+F295</f>
        <v>187076.5</v>
      </c>
      <c r="G300" s="73">
        <f>G285+G293+G295</f>
        <v>272400</v>
      </c>
      <c r="H300" s="356">
        <f t="shared" si="37"/>
        <v>145.60888192798134</v>
      </c>
      <c r="I300" s="357">
        <f t="shared" si="35"/>
        <v>106.86543742644174</v>
      </c>
      <c r="J300" s="359">
        <f t="shared" si="36"/>
        <v>1.2881259753156475</v>
      </c>
    </row>
    <row r="301" spans="1:10" ht="12.75">
      <c r="A301" s="580"/>
      <c r="B301" s="581"/>
      <c r="C301" s="584" t="s">
        <v>383</v>
      </c>
      <c r="D301" s="585"/>
      <c r="E301" s="397"/>
      <c r="F301" s="180"/>
      <c r="G301" s="180"/>
      <c r="H301" s="180"/>
      <c r="I301" s="416"/>
      <c r="J301" s="441"/>
    </row>
    <row r="302" spans="1:10" ht="12.75">
      <c r="A302" s="580"/>
      <c r="B302" s="581"/>
      <c r="C302" s="586"/>
      <c r="D302" s="585"/>
      <c r="E302" s="398"/>
      <c r="F302" s="181"/>
      <c r="G302" s="181"/>
      <c r="H302" s="181"/>
      <c r="I302" s="396"/>
      <c r="J302" s="442"/>
    </row>
    <row r="303" spans="1:10" ht="12.75" customHeight="1">
      <c r="A303" s="580"/>
      <c r="B303" s="581"/>
      <c r="C303" s="586"/>
      <c r="D303" s="585"/>
      <c r="E303" s="399"/>
      <c r="F303" s="182"/>
      <c r="G303" s="182"/>
      <c r="H303" s="182"/>
      <c r="I303" s="400"/>
      <c r="J303" s="443"/>
    </row>
    <row r="304" spans="1:10" ht="14.25" customHeight="1">
      <c r="A304" s="141"/>
      <c r="B304" s="25">
        <v>411000</v>
      </c>
      <c r="C304" s="38"/>
      <c r="D304" s="28" t="s">
        <v>437</v>
      </c>
      <c r="E304" s="406">
        <f>SUM(E305:E308)</f>
        <v>260800</v>
      </c>
      <c r="F304" s="406">
        <f>SUM(F305:F308)</f>
        <v>237800</v>
      </c>
      <c r="G304" s="406">
        <f>SUM(G305:G308)</f>
        <v>269000</v>
      </c>
      <c r="H304" s="415">
        <f>G304/F304*100</f>
        <v>113.12026913372581</v>
      </c>
      <c r="I304" s="407">
        <f aca="true" t="shared" si="38" ref="I304:I333">IF(E304&gt;0,G304/E304*100,0)</f>
        <v>103.1441717791411</v>
      </c>
      <c r="J304" s="417">
        <f aca="true" t="shared" si="39" ref="J304:J333">G304/$G$491*100</f>
        <v>1.2720480446399016</v>
      </c>
    </row>
    <row r="305" spans="1:10" ht="12.75" customHeight="1">
      <c r="A305" s="141">
        <v>1090</v>
      </c>
      <c r="B305" s="35"/>
      <c r="C305" s="19">
        <v>411100</v>
      </c>
      <c r="D305" s="29" t="s">
        <v>431</v>
      </c>
      <c r="E305" s="204">
        <v>190000</v>
      </c>
      <c r="F305" s="204">
        <v>183500</v>
      </c>
      <c r="G305" s="204">
        <v>200000</v>
      </c>
      <c r="H305" s="218">
        <f aca="true" t="shared" si="40" ref="H305:H333">G305/F305*100</f>
        <v>108.99182561307903</v>
      </c>
      <c r="I305" s="349">
        <f t="shared" si="38"/>
        <v>105.26315789473684</v>
      </c>
      <c r="J305" s="351">
        <f t="shared" si="39"/>
        <v>0.945760627985057</v>
      </c>
    </row>
    <row r="306" spans="1:10" ht="23.25" customHeight="1">
      <c r="A306" s="141">
        <v>1090</v>
      </c>
      <c r="B306" s="35"/>
      <c r="C306" s="19">
        <v>411200</v>
      </c>
      <c r="D306" s="29" t="s">
        <v>438</v>
      </c>
      <c r="E306" s="204">
        <v>60000</v>
      </c>
      <c r="F306" s="204">
        <v>50000</v>
      </c>
      <c r="G306" s="204">
        <v>58000</v>
      </c>
      <c r="H306" s="218">
        <f t="shared" si="40"/>
        <v>115.99999999999999</v>
      </c>
      <c r="I306" s="349">
        <f t="shared" si="38"/>
        <v>96.66666666666667</v>
      </c>
      <c r="J306" s="351">
        <f t="shared" si="39"/>
        <v>0.2742705821156666</v>
      </c>
    </row>
    <row r="307" spans="1:10" ht="12.75" customHeight="1">
      <c r="A307" s="141">
        <v>1090</v>
      </c>
      <c r="B307" s="35"/>
      <c r="C307" s="19">
        <v>411300</v>
      </c>
      <c r="D307" s="29" t="s">
        <v>432</v>
      </c>
      <c r="E307" s="204">
        <v>2800</v>
      </c>
      <c r="F307" s="204">
        <v>1300</v>
      </c>
      <c r="G307" s="204">
        <v>3000</v>
      </c>
      <c r="H307" s="218">
        <f t="shared" si="40"/>
        <v>230.76923076923075</v>
      </c>
      <c r="I307" s="349">
        <f t="shared" si="38"/>
        <v>107.14285714285714</v>
      </c>
      <c r="J307" s="351">
        <f t="shared" si="39"/>
        <v>0.014186409419775853</v>
      </c>
    </row>
    <row r="308" spans="1:10" ht="12.75" customHeight="1">
      <c r="A308" s="141">
        <v>1090</v>
      </c>
      <c r="B308" s="35"/>
      <c r="C308" s="19">
        <v>411400</v>
      </c>
      <c r="D308" s="31" t="s">
        <v>433</v>
      </c>
      <c r="E308" s="204">
        <v>8000</v>
      </c>
      <c r="F308" s="204">
        <v>3000</v>
      </c>
      <c r="G308" s="204">
        <v>8000</v>
      </c>
      <c r="H308" s="218">
        <f t="shared" si="40"/>
        <v>266.66666666666663</v>
      </c>
      <c r="I308" s="349">
        <f t="shared" si="38"/>
        <v>100</v>
      </c>
      <c r="J308" s="351">
        <f t="shared" si="39"/>
        <v>0.03783042511940228</v>
      </c>
    </row>
    <row r="309" spans="1:10" ht="14.25" customHeight="1">
      <c r="A309" s="141"/>
      <c r="B309" s="25">
        <v>412000</v>
      </c>
      <c r="C309" s="19"/>
      <c r="D309" s="34" t="s">
        <v>145</v>
      </c>
      <c r="E309" s="193">
        <f>SUM(E310:E316)</f>
        <v>109100</v>
      </c>
      <c r="F309" s="193">
        <f>SUM(F310:F316)</f>
        <v>129600</v>
      </c>
      <c r="G309" s="193">
        <f>SUM(G310:G316)</f>
        <v>125450</v>
      </c>
      <c r="H309" s="193">
        <f t="shared" si="40"/>
        <v>96.79783950617285</v>
      </c>
      <c r="I309" s="192">
        <f t="shared" si="38"/>
        <v>114.98625114573787</v>
      </c>
      <c r="J309" s="347">
        <f t="shared" si="39"/>
        <v>0.5932283539036269</v>
      </c>
    </row>
    <row r="310" spans="1:10" ht="12.75" customHeight="1">
      <c r="A310" s="141">
        <v>1090</v>
      </c>
      <c r="B310" s="35"/>
      <c r="C310" s="19">
        <v>412100</v>
      </c>
      <c r="D310" s="32" t="s">
        <v>146</v>
      </c>
      <c r="E310" s="204">
        <v>25000</v>
      </c>
      <c r="F310" s="204">
        <v>24240</v>
      </c>
      <c r="G310" s="204">
        <v>22850</v>
      </c>
      <c r="H310" s="218">
        <f t="shared" si="40"/>
        <v>94.26567656765677</v>
      </c>
      <c r="I310" s="349">
        <f t="shared" si="38"/>
        <v>91.4</v>
      </c>
      <c r="J310" s="351">
        <f t="shared" si="39"/>
        <v>0.10805315174729276</v>
      </c>
    </row>
    <row r="311" spans="1:10" ht="24" customHeight="1">
      <c r="A311" s="141">
        <v>1090</v>
      </c>
      <c r="B311" s="35"/>
      <c r="C311" s="19">
        <v>412200</v>
      </c>
      <c r="D311" s="32" t="s">
        <v>147</v>
      </c>
      <c r="E311" s="204">
        <v>65000</v>
      </c>
      <c r="F311" s="204">
        <v>79760</v>
      </c>
      <c r="G311" s="204">
        <v>80000</v>
      </c>
      <c r="H311" s="218">
        <f t="shared" si="40"/>
        <v>100.30090270812437</v>
      </c>
      <c r="I311" s="349">
        <f t="shared" si="38"/>
        <v>123.07692307692308</v>
      </c>
      <c r="J311" s="351">
        <f t="shared" si="39"/>
        <v>0.3783042511940228</v>
      </c>
    </row>
    <row r="312" spans="1:10" ht="12.75" customHeight="1">
      <c r="A312" s="141">
        <v>1090</v>
      </c>
      <c r="B312" s="35"/>
      <c r="C312" s="19">
        <v>412300</v>
      </c>
      <c r="D312" s="35" t="s">
        <v>148</v>
      </c>
      <c r="E312" s="204">
        <v>8000</v>
      </c>
      <c r="F312" s="204">
        <v>8000</v>
      </c>
      <c r="G312" s="204">
        <v>8000</v>
      </c>
      <c r="H312" s="218">
        <f t="shared" si="40"/>
        <v>100</v>
      </c>
      <c r="I312" s="349">
        <f t="shared" si="38"/>
        <v>100</v>
      </c>
      <c r="J312" s="351">
        <f t="shared" si="39"/>
        <v>0.03783042511940228</v>
      </c>
    </row>
    <row r="313" spans="1:10" ht="12.75" customHeight="1">
      <c r="A313" s="141">
        <v>1090</v>
      </c>
      <c r="B313" s="35"/>
      <c r="C313" s="19">
        <v>412500</v>
      </c>
      <c r="D313" s="35" t="s">
        <v>150</v>
      </c>
      <c r="E313" s="204">
        <v>1500</v>
      </c>
      <c r="F313" s="204">
        <v>1500</v>
      </c>
      <c r="G313" s="204">
        <v>2000</v>
      </c>
      <c r="H313" s="218">
        <f t="shared" si="40"/>
        <v>133.33333333333331</v>
      </c>
      <c r="I313" s="349">
        <f t="shared" si="38"/>
        <v>133.33333333333331</v>
      </c>
      <c r="J313" s="351">
        <f t="shared" si="39"/>
        <v>0.00945760627985057</v>
      </c>
    </row>
    <row r="314" spans="1:10" ht="12.75" customHeight="1">
      <c r="A314" s="141">
        <v>1090</v>
      </c>
      <c r="B314" s="35"/>
      <c r="C314" s="19">
        <v>412600</v>
      </c>
      <c r="D314" s="49" t="s">
        <v>151</v>
      </c>
      <c r="E314" s="204">
        <v>600</v>
      </c>
      <c r="F314" s="204">
        <v>600</v>
      </c>
      <c r="G314" s="204">
        <v>600</v>
      </c>
      <c r="H314" s="218">
        <f t="shared" si="40"/>
        <v>100</v>
      </c>
      <c r="I314" s="349">
        <f t="shared" si="38"/>
        <v>100</v>
      </c>
      <c r="J314" s="351">
        <f t="shared" si="39"/>
        <v>0.002837281883955171</v>
      </c>
    </row>
    <row r="315" spans="1:10" ht="12.75" customHeight="1">
      <c r="A315" s="141" t="s">
        <v>34</v>
      </c>
      <c r="B315" s="79"/>
      <c r="C315" s="80">
        <v>412700</v>
      </c>
      <c r="D315" s="80" t="s">
        <v>152</v>
      </c>
      <c r="E315" s="204">
        <v>3000</v>
      </c>
      <c r="F315" s="204">
        <v>4500</v>
      </c>
      <c r="G315" s="204">
        <v>4000</v>
      </c>
      <c r="H315" s="218">
        <f t="shared" si="40"/>
        <v>88.88888888888889</v>
      </c>
      <c r="I315" s="349">
        <f t="shared" si="38"/>
        <v>133.33333333333331</v>
      </c>
      <c r="J315" s="351">
        <f t="shared" si="39"/>
        <v>0.01891521255970114</v>
      </c>
    </row>
    <row r="316" spans="1:10" ht="12.75" customHeight="1">
      <c r="A316" s="141" t="s">
        <v>34</v>
      </c>
      <c r="B316" s="79"/>
      <c r="C316" s="80">
        <v>412900</v>
      </c>
      <c r="D316" s="80" t="s">
        <v>154</v>
      </c>
      <c r="E316" s="204">
        <v>6000</v>
      </c>
      <c r="F316" s="204">
        <v>11000</v>
      </c>
      <c r="G316" s="204">
        <v>8000</v>
      </c>
      <c r="H316" s="218">
        <f t="shared" si="40"/>
        <v>72.72727272727273</v>
      </c>
      <c r="I316" s="349">
        <f t="shared" si="38"/>
        <v>133.33333333333331</v>
      </c>
      <c r="J316" s="351">
        <f t="shared" si="39"/>
        <v>0.03783042511940228</v>
      </c>
    </row>
    <row r="317" spans="1:10" ht="14.25" customHeight="1">
      <c r="A317" s="141"/>
      <c r="B317" s="25"/>
      <c r="C317" s="19"/>
      <c r="D317" s="37" t="s">
        <v>52</v>
      </c>
      <c r="E317" s="67">
        <f>SUM(E318:E328)</f>
        <v>2234000</v>
      </c>
      <c r="F317" s="67">
        <f>SUM(F318:F328)</f>
        <v>2272000</v>
      </c>
      <c r="G317" s="67">
        <f>SUM(G318:G328)</f>
        <v>2351000</v>
      </c>
      <c r="H317" s="193">
        <f t="shared" si="40"/>
        <v>103.47711267605635</v>
      </c>
      <c r="I317" s="192">
        <f t="shared" si="38"/>
        <v>105.23724261414502</v>
      </c>
      <c r="J317" s="347">
        <f t="shared" si="39"/>
        <v>11.117416181964344</v>
      </c>
    </row>
    <row r="318" spans="1:10" ht="12.75">
      <c r="A318" s="141">
        <v>1090</v>
      </c>
      <c r="B318" s="35"/>
      <c r="C318" s="19">
        <v>416100</v>
      </c>
      <c r="D318" s="32" t="s">
        <v>54</v>
      </c>
      <c r="E318" s="218">
        <v>150000</v>
      </c>
      <c r="F318" s="218">
        <v>138000</v>
      </c>
      <c r="G318" s="204">
        <v>150000</v>
      </c>
      <c r="H318" s="218">
        <f t="shared" si="40"/>
        <v>108.69565217391303</v>
      </c>
      <c r="I318" s="349">
        <f t="shared" si="38"/>
        <v>100</v>
      </c>
      <c r="J318" s="351">
        <f t="shared" si="39"/>
        <v>0.7093204709887928</v>
      </c>
    </row>
    <row r="319" spans="1:10" ht="12.75" customHeight="1">
      <c r="A319" s="141" t="s">
        <v>34</v>
      </c>
      <c r="B319" s="35"/>
      <c r="C319" s="19">
        <v>416100</v>
      </c>
      <c r="D319" s="32" t="s">
        <v>223</v>
      </c>
      <c r="E319" s="218">
        <v>150000</v>
      </c>
      <c r="F319" s="218">
        <v>138000</v>
      </c>
      <c r="G319" s="204">
        <v>150000</v>
      </c>
      <c r="H319" s="218">
        <f t="shared" si="40"/>
        <v>108.69565217391303</v>
      </c>
      <c r="I319" s="349">
        <f t="shared" si="38"/>
        <v>100</v>
      </c>
      <c r="J319" s="351">
        <f t="shared" si="39"/>
        <v>0.7093204709887928</v>
      </c>
    </row>
    <row r="320" spans="1:10" ht="12.75" customHeight="1">
      <c r="A320" s="141">
        <v>1090</v>
      </c>
      <c r="B320" s="35"/>
      <c r="C320" s="19">
        <v>416100</v>
      </c>
      <c r="D320" s="32" t="s">
        <v>114</v>
      </c>
      <c r="E320" s="218">
        <v>625000</v>
      </c>
      <c r="F320" s="218">
        <v>665000</v>
      </c>
      <c r="G320" s="204">
        <v>680000</v>
      </c>
      <c r="H320" s="218">
        <f t="shared" si="40"/>
        <v>102.25563909774435</v>
      </c>
      <c r="I320" s="349">
        <f t="shared" si="38"/>
        <v>108.80000000000001</v>
      </c>
      <c r="J320" s="351">
        <f t="shared" si="39"/>
        <v>3.215586135149194</v>
      </c>
    </row>
    <row r="321" spans="1:10" ht="12.75">
      <c r="A321" s="141" t="s">
        <v>34</v>
      </c>
      <c r="B321" s="35"/>
      <c r="C321" s="19">
        <v>416100</v>
      </c>
      <c r="D321" s="32" t="s">
        <v>224</v>
      </c>
      <c r="E321" s="218">
        <v>625000</v>
      </c>
      <c r="F321" s="218">
        <v>665000</v>
      </c>
      <c r="G321" s="204">
        <v>680000</v>
      </c>
      <c r="H321" s="218">
        <f t="shared" si="40"/>
        <v>102.25563909774435</v>
      </c>
      <c r="I321" s="349">
        <f t="shared" si="38"/>
        <v>108.80000000000001</v>
      </c>
      <c r="J321" s="351">
        <f t="shared" si="39"/>
        <v>3.215586135149194</v>
      </c>
    </row>
    <row r="322" spans="1:10" ht="12.75" customHeight="1">
      <c r="A322" s="141">
        <v>1090</v>
      </c>
      <c r="B322" s="35"/>
      <c r="C322" s="19">
        <v>416100</v>
      </c>
      <c r="D322" s="35" t="s">
        <v>55</v>
      </c>
      <c r="E322" s="218">
        <v>130000</v>
      </c>
      <c r="F322" s="218">
        <v>107500</v>
      </c>
      <c r="G322" s="204">
        <v>0</v>
      </c>
      <c r="H322" s="218">
        <f t="shared" si="40"/>
        <v>0</v>
      </c>
      <c r="I322" s="349">
        <f t="shared" si="38"/>
        <v>0</v>
      </c>
      <c r="J322" s="351">
        <f t="shared" si="39"/>
        <v>0</v>
      </c>
    </row>
    <row r="323" spans="1:10" ht="12.75" customHeight="1">
      <c r="A323" s="141">
        <v>1090</v>
      </c>
      <c r="B323" s="35"/>
      <c r="C323" s="40">
        <v>416100</v>
      </c>
      <c r="D323" s="32" t="s">
        <v>56</v>
      </c>
      <c r="E323" s="218">
        <v>30000</v>
      </c>
      <c r="F323" s="218">
        <v>30000</v>
      </c>
      <c r="G323" s="204">
        <v>30000</v>
      </c>
      <c r="H323" s="218">
        <f t="shared" si="40"/>
        <v>100</v>
      </c>
      <c r="I323" s="349">
        <f t="shared" si="38"/>
        <v>100</v>
      </c>
      <c r="J323" s="351">
        <f t="shared" si="39"/>
        <v>0.14186409419775856</v>
      </c>
    </row>
    <row r="324" spans="1:10" ht="12.75" customHeight="1">
      <c r="A324" s="141">
        <v>1090</v>
      </c>
      <c r="B324" s="35"/>
      <c r="C324" s="40">
        <v>416100</v>
      </c>
      <c r="D324" s="32" t="s">
        <v>57</v>
      </c>
      <c r="E324" s="218">
        <v>80000</v>
      </c>
      <c r="F324" s="218">
        <v>80000</v>
      </c>
      <c r="G324" s="204">
        <v>80000</v>
      </c>
      <c r="H324" s="218">
        <f t="shared" si="40"/>
        <v>100</v>
      </c>
      <c r="I324" s="349">
        <f t="shared" si="38"/>
        <v>100</v>
      </c>
      <c r="J324" s="351">
        <f t="shared" si="39"/>
        <v>0.3783042511940228</v>
      </c>
    </row>
    <row r="325" spans="1:10" ht="12.75" customHeight="1">
      <c r="A325" s="141">
        <v>1090</v>
      </c>
      <c r="B325" s="35"/>
      <c r="C325" s="19">
        <v>416300</v>
      </c>
      <c r="D325" s="32" t="s">
        <v>113</v>
      </c>
      <c r="E325" s="218">
        <v>290000</v>
      </c>
      <c r="F325" s="218">
        <v>312500</v>
      </c>
      <c r="G325" s="204">
        <v>300000</v>
      </c>
      <c r="H325" s="218">
        <f t="shared" si="40"/>
        <v>96</v>
      </c>
      <c r="I325" s="349">
        <f t="shared" si="38"/>
        <v>103.44827586206897</v>
      </c>
      <c r="J325" s="351">
        <f t="shared" si="39"/>
        <v>1.4186409419775856</v>
      </c>
    </row>
    <row r="326" spans="1:10" ht="12.75" customHeight="1">
      <c r="A326" s="141" t="s">
        <v>34</v>
      </c>
      <c r="B326" s="35"/>
      <c r="C326" s="19">
        <v>416300</v>
      </c>
      <c r="D326" s="35" t="s">
        <v>55</v>
      </c>
      <c r="E326" s="218">
        <v>0</v>
      </c>
      <c r="F326" s="218">
        <v>0</v>
      </c>
      <c r="G326" s="204">
        <v>130000</v>
      </c>
      <c r="H326" s="218" t="e">
        <f t="shared" si="40"/>
        <v>#DIV/0!</v>
      </c>
      <c r="I326" s="349">
        <f t="shared" si="38"/>
        <v>0</v>
      </c>
      <c r="J326" s="351">
        <f t="shared" si="39"/>
        <v>0.614744408190287</v>
      </c>
    </row>
    <row r="327" spans="1:10" ht="12.75" customHeight="1">
      <c r="A327" s="141" t="s">
        <v>34</v>
      </c>
      <c r="B327" s="25"/>
      <c r="C327" s="40">
        <v>487400</v>
      </c>
      <c r="D327" s="36" t="s">
        <v>53</v>
      </c>
      <c r="E327" s="218">
        <v>89000</v>
      </c>
      <c r="F327" s="218">
        <v>79000</v>
      </c>
      <c r="G327" s="218">
        <v>87000</v>
      </c>
      <c r="H327" s="218">
        <f t="shared" si="40"/>
        <v>110.12658227848102</v>
      </c>
      <c r="I327" s="349">
        <f t="shared" si="38"/>
        <v>97.75280898876404</v>
      </c>
      <c r="J327" s="351">
        <f t="shared" si="39"/>
        <v>0.41140587317349975</v>
      </c>
    </row>
    <row r="328" spans="1:10" ht="12.75" customHeight="1">
      <c r="A328" s="141" t="s">
        <v>34</v>
      </c>
      <c r="B328" s="35"/>
      <c r="C328" s="40">
        <v>487400</v>
      </c>
      <c r="D328" s="36" t="s">
        <v>225</v>
      </c>
      <c r="E328" s="218">
        <v>65000</v>
      </c>
      <c r="F328" s="218">
        <v>57000</v>
      </c>
      <c r="G328" s="218">
        <v>64000</v>
      </c>
      <c r="H328" s="218">
        <f t="shared" si="40"/>
        <v>112.28070175438596</v>
      </c>
      <c r="I328" s="349">
        <f t="shared" si="38"/>
        <v>98.46153846153847</v>
      </c>
      <c r="J328" s="351">
        <f t="shared" si="39"/>
        <v>0.30264340095521824</v>
      </c>
    </row>
    <row r="329" spans="1:10" ht="14.25" customHeight="1">
      <c r="A329" s="141"/>
      <c r="B329" s="25">
        <v>511000</v>
      </c>
      <c r="C329" s="19"/>
      <c r="D329" s="34" t="s">
        <v>163</v>
      </c>
      <c r="E329" s="193">
        <f>SUM(E330:E330)</f>
        <v>2000</v>
      </c>
      <c r="F329" s="193">
        <f>SUM(F330:F330)</f>
        <v>1000</v>
      </c>
      <c r="G329" s="193">
        <f>SUM(G330:G330)</f>
        <v>2000</v>
      </c>
      <c r="H329" s="193">
        <f t="shared" si="40"/>
        <v>200</v>
      </c>
      <c r="I329" s="192">
        <f t="shared" si="38"/>
        <v>100</v>
      </c>
      <c r="J329" s="347">
        <f t="shared" si="39"/>
        <v>0.00945760627985057</v>
      </c>
    </row>
    <row r="330" spans="1:10" ht="12.75" customHeight="1">
      <c r="A330" s="141">
        <v>1090</v>
      </c>
      <c r="B330" s="35"/>
      <c r="C330" s="19">
        <v>511300</v>
      </c>
      <c r="D330" s="35" t="s">
        <v>2</v>
      </c>
      <c r="E330" s="204">
        <v>2000</v>
      </c>
      <c r="F330" s="204">
        <v>1000</v>
      </c>
      <c r="G330" s="204">
        <v>2000</v>
      </c>
      <c r="H330" s="218">
        <f t="shared" si="40"/>
        <v>200</v>
      </c>
      <c r="I330" s="349">
        <f t="shared" si="38"/>
        <v>100</v>
      </c>
      <c r="J330" s="351">
        <f t="shared" si="39"/>
        <v>0.00945760627985057</v>
      </c>
    </row>
    <row r="331" spans="1:10" ht="22.5" customHeight="1">
      <c r="A331" s="214"/>
      <c r="B331" s="25">
        <v>638000</v>
      </c>
      <c r="C331" s="19"/>
      <c r="D331" s="34" t="s">
        <v>434</v>
      </c>
      <c r="E331" s="67">
        <f>SUM(E332)</f>
        <v>3400</v>
      </c>
      <c r="F331" s="67">
        <f>SUM(F332)</f>
        <v>0</v>
      </c>
      <c r="G331" s="67">
        <f>SUM(G332)</f>
        <v>4000</v>
      </c>
      <c r="H331" s="193" t="e">
        <f t="shared" si="40"/>
        <v>#DIV/0!</v>
      </c>
      <c r="I331" s="192">
        <f t="shared" si="38"/>
        <v>117.64705882352942</v>
      </c>
      <c r="J331" s="347">
        <f t="shared" si="39"/>
        <v>0.01891521255970114</v>
      </c>
    </row>
    <row r="332" spans="1:10" ht="36" customHeight="1">
      <c r="A332" s="141"/>
      <c r="B332" s="35"/>
      <c r="C332" s="19">
        <v>638100</v>
      </c>
      <c r="D332" s="32" t="s">
        <v>435</v>
      </c>
      <c r="E332" s="204">
        <v>3400</v>
      </c>
      <c r="F332" s="204">
        <v>0</v>
      </c>
      <c r="G332" s="204">
        <v>4000</v>
      </c>
      <c r="H332" s="218" t="e">
        <f t="shared" si="40"/>
        <v>#DIV/0!</v>
      </c>
      <c r="I332" s="349">
        <f t="shared" si="38"/>
        <v>117.64705882352942</v>
      </c>
      <c r="J332" s="351">
        <f t="shared" si="39"/>
        <v>0.01891521255970114</v>
      </c>
    </row>
    <row r="333" spans="1:10" ht="30" customHeight="1">
      <c r="A333" s="578"/>
      <c r="B333" s="579"/>
      <c r="C333" s="590" t="s">
        <v>93</v>
      </c>
      <c r="D333" s="591"/>
      <c r="E333" s="392">
        <f>E304+E309+E317+E329+E331</f>
        <v>2609300</v>
      </c>
      <c r="F333" s="392">
        <f>F304+F309+F317+F329+F331</f>
        <v>2640400</v>
      </c>
      <c r="G333" s="392">
        <f>G304+G309+G317+G329+G331</f>
        <v>2751450</v>
      </c>
      <c r="H333" s="393">
        <f t="shared" si="40"/>
        <v>104.20580215118922</v>
      </c>
      <c r="I333" s="394">
        <f t="shared" si="38"/>
        <v>105.44782125474266</v>
      </c>
      <c r="J333" s="395">
        <f t="shared" si="39"/>
        <v>13.011065399347425</v>
      </c>
    </row>
    <row r="334" spans="1:10" ht="9.75" customHeight="1">
      <c r="A334" s="578"/>
      <c r="B334" s="579"/>
      <c r="C334" s="584" t="s">
        <v>382</v>
      </c>
      <c r="D334" s="585"/>
      <c r="E334" s="410"/>
      <c r="F334" s="177"/>
      <c r="G334" s="177"/>
      <c r="H334" s="177"/>
      <c r="I334" s="411"/>
      <c r="J334" s="438"/>
    </row>
    <row r="335" spans="1:10" ht="9.75" customHeight="1">
      <c r="A335" s="578"/>
      <c r="B335" s="579"/>
      <c r="C335" s="586"/>
      <c r="D335" s="585"/>
      <c r="E335" s="412"/>
      <c r="F335" s="178"/>
      <c r="G335" s="178"/>
      <c r="H335" s="178"/>
      <c r="I335" s="409"/>
      <c r="J335" s="439"/>
    </row>
    <row r="336" spans="1:10" ht="19.5" customHeight="1">
      <c r="A336" s="578"/>
      <c r="B336" s="579"/>
      <c r="C336" s="586"/>
      <c r="D336" s="585"/>
      <c r="E336" s="413"/>
      <c r="F336" s="179"/>
      <c r="G336" s="179"/>
      <c r="H336" s="179"/>
      <c r="I336" s="414"/>
      <c r="J336" s="440"/>
    </row>
    <row r="337" spans="1:10" ht="14.25" customHeight="1">
      <c r="A337" s="141"/>
      <c r="B337" s="25">
        <v>411000</v>
      </c>
      <c r="C337" s="27"/>
      <c r="D337" s="38" t="s">
        <v>437</v>
      </c>
      <c r="E337" s="415">
        <f>SUM(E338)</f>
        <v>15000</v>
      </c>
      <c r="F337" s="415">
        <f>SUM(F338)</f>
        <v>9918.25</v>
      </c>
      <c r="G337" s="415">
        <f>SUM(G338)</f>
        <v>10000</v>
      </c>
      <c r="H337" s="415">
        <f>G337/F337*100</f>
        <v>100.8242381468505</v>
      </c>
      <c r="I337" s="407">
        <f aca="true" t="shared" si="41" ref="I337:I351">IF(E337&gt;0,G337/E337*100,0)</f>
        <v>66.66666666666666</v>
      </c>
      <c r="J337" s="417">
        <f aca="true" t="shared" si="42" ref="J337:J351">G337/$G$491*100</f>
        <v>0.04728803139925285</v>
      </c>
    </row>
    <row r="338" spans="1:10" ht="12.75">
      <c r="A338" s="141" t="s">
        <v>33</v>
      </c>
      <c r="B338" s="35"/>
      <c r="C338" s="19">
        <v>411200</v>
      </c>
      <c r="D338" s="31" t="s">
        <v>3</v>
      </c>
      <c r="E338" s="204">
        <v>15000</v>
      </c>
      <c r="F338" s="204">
        <v>9918.25</v>
      </c>
      <c r="G338" s="204">
        <v>10000</v>
      </c>
      <c r="H338" s="218">
        <f aca="true" t="shared" si="43" ref="H338:H351">G338/F338*100</f>
        <v>100.8242381468505</v>
      </c>
      <c r="I338" s="349">
        <f t="shared" si="41"/>
        <v>66.66666666666666</v>
      </c>
      <c r="J338" s="351">
        <f t="shared" si="42"/>
        <v>0.04728803139925285</v>
      </c>
    </row>
    <row r="339" spans="1:10" ht="14.25" customHeight="1">
      <c r="A339" s="141"/>
      <c r="B339" s="25">
        <v>412000</v>
      </c>
      <c r="C339" s="19"/>
      <c r="D339" s="38" t="s">
        <v>145</v>
      </c>
      <c r="E339" s="193">
        <f>SUM(E340:E346)</f>
        <v>56500</v>
      </c>
      <c r="F339" s="193">
        <f>SUM(F340:F346)</f>
        <v>60448.75</v>
      </c>
      <c r="G339" s="193">
        <f>SUM(G340:G346)</f>
        <v>61000</v>
      </c>
      <c r="H339" s="193">
        <f t="shared" si="43"/>
        <v>100.91192952707873</v>
      </c>
      <c r="I339" s="192">
        <f t="shared" si="41"/>
        <v>107.9646017699115</v>
      </c>
      <c r="J339" s="347">
        <f t="shared" si="42"/>
        <v>0.28845699153544235</v>
      </c>
    </row>
    <row r="340" spans="1:10" ht="24.75" customHeight="1">
      <c r="A340" s="141" t="s">
        <v>33</v>
      </c>
      <c r="B340" s="25"/>
      <c r="C340" s="19">
        <v>412200</v>
      </c>
      <c r="D340" s="32" t="s">
        <v>147</v>
      </c>
      <c r="E340" s="204">
        <v>35000</v>
      </c>
      <c r="F340" s="204">
        <v>35000</v>
      </c>
      <c r="G340" s="204">
        <v>36000</v>
      </c>
      <c r="H340" s="218">
        <f t="shared" si="43"/>
        <v>102.85714285714285</v>
      </c>
      <c r="I340" s="349">
        <f t="shared" si="41"/>
        <v>102.85714285714285</v>
      </c>
      <c r="J340" s="351">
        <f t="shared" si="42"/>
        <v>0.17023691303731026</v>
      </c>
    </row>
    <row r="341" spans="1:10" ht="12.75">
      <c r="A341" s="141" t="s">
        <v>33</v>
      </c>
      <c r="B341" s="25"/>
      <c r="C341" s="19">
        <v>412300</v>
      </c>
      <c r="D341" s="35" t="s">
        <v>148</v>
      </c>
      <c r="E341" s="204">
        <v>2500</v>
      </c>
      <c r="F341" s="204">
        <v>2500</v>
      </c>
      <c r="G341" s="204">
        <v>3000</v>
      </c>
      <c r="H341" s="218">
        <f t="shared" si="43"/>
        <v>120</v>
      </c>
      <c r="I341" s="349">
        <f t="shared" si="41"/>
        <v>120</v>
      </c>
      <c r="J341" s="351">
        <f t="shared" si="42"/>
        <v>0.014186409419775853</v>
      </c>
    </row>
    <row r="342" spans="1:10" ht="12.75">
      <c r="A342" s="141" t="s">
        <v>33</v>
      </c>
      <c r="B342" s="25"/>
      <c r="C342" s="19">
        <v>412400</v>
      </c>
      <c r="D342" s="32" t="s">
        <v>149</v>
      </c>
      <c r="E342" s="204">
        <v>5000</v>
      </c>
      <c r="F342" s="204">
        <v>5000</v>
      </c>
      <c r="G342" s="204">
        <v>4000</v>
      </c>
      <c r="H342" s="218">
        <f t="shared" si="43"/>
        <v>80</v>
      </c>
      <c r="I342" s="349">
        <f t="shared" si="41"/>
        <v>80</v>
      </c>
      <c r="J342" s="351">
        <f t="shared" si="42"/>
        <v>0.01891521255970114</v>
      </c>
    </row>
    <row r="343" spans="1:10" ht="12.75">
      <c r="A343" s="141" t="s">
        <v>33</v>
      </c>
      <c r="B343" s="25"/>
      <c r="C343" s="19">
        <v>412500</v>
      </c>
      <c r="D343" s="35" t="s">
        <v>150</v>
      </c>
      <c r="E343" s="204">
        <v>5000</v>
      </c>
      <c r="F343" s="204">
        <v>8948.75</v>
      </c>
      <c r="G343" s="204">
        <v>5000</v>
      </c>
      <c r="H343" s="218">
        <f t="shared" si="43"/>
        <v>55.87372538063975</v>
      </c>
      <c r="I343" s="349">
        <f t="shared" si="41"/>
        <v>100</v>
      </c>
      <c r="J343" s="351">
        <f t="shared" si="42"/>
        <v>0.023644015699626424</v>
      </c>
    </row>
    <row r="344" spans="1:10" ht="12.75">
      <c r="A344" s="141" t="s">
        <v>33</v>
      </c>
      <c r="B344" s="25"/>
      <c r="C344" s="19">
        <v>412600</v>
      </c>
      <c r="D344" s="35" t="s">
        <v>151</v>
      </c>
      <c r="E344" s="204">
        <v>2000</v>
      </c>
      <c r="F344" s="204">
        <v>2000</v>
      </c>
      <c r="G344" s="204">
        <v>2000</v>
      </c>
      <c r="H344" s="218">
        <f t="shared" si="43"/>
        <v>100</v>
      </c>
      <c r="I344" s="349">
        <f t="shared" si="41"/>
        <v>100</v>
      </c>
      <c r="J344" s="351">
        <f t="shared" si="42"/>
        <v>0.00945760627985057</v>
      </c>
    </row>
    <row r="345" spans="1:10" ht="12.75">
      <c r="A345" s="141" t="s">
        <v>33</v>
      </c>
      <c r="B345" s="25"/>
      <c r="C345" s="80">
        <v>412700</v>
      </c>
      <c r="D345" s="80" t="s">
        <v>152</v>
      </c>
      <c r="E345" s="204">
        <v>5000</v>
      </c>
      <c r="F345" s="204">
        <v>5000</v>
      </c>
      <c r="G345" s="204">
        <v>4000</v>
      </c>
      <c r="H345" s="218">
        <f t="shared" si="43"/>
        <v>80</v>
      </c>
      <c r="I345" s="349">
        <f t="shared" si="41"/>
        <v>80</v>
      </c>
      <c r="J345" s="351">
        <f t="shared" si="42"/>
        <v>0.01891521255970114</v>
      </c>
    </row>
    <row r="346" spans="1:10" ht="12.75">
      <c r="A346" s="141" t="s">
        <v>33</v>
      </c>
      <c r="B346" s="25"/>
      <c r="C346" s="80">
        <v>412900</v>
      </c>
      <c r="D346" s="80" t="s">
        <v>154</v>
      </c>
      <c r="E346" s="204">
        <v>2000</v>
      </c>
      <c r="F346" s="204">
        <v>2000</v>
      </c>
      <c r="G346" s="204">
        <v>7000</v>
      </c>
      <c r="H346" s="218">
        <f t="shared" si="43"/>
        <v>350</v>
      </c>
      <c r="I346" s="349">
        <f t="shared" si="41"/>
        <v>350</v>
      </c>
      <c r="J346" s="351">
        <f t="shared" si="42"/>
        <v>0.033101621979477</v>
      </c>
    </row>
    <row r="347" spans="1:10" ht="14.25" customHeight="1">
      <c r="A347" s="141"/>
      <c r="B347" s="25">
        <v>511000</v>
      </c>
      <c r="C347" s="35"/>
      <c r="D347" s="34" t="s">
        <v>163</v>
      </c>
      <c r="E347" s="268">
        <f>SUM(E348:E348)</f>
        <v>3000</v>
      </c>
      <c r="F347" s="268">
        <f>SUM(F348:F348)</f>
        <v>3000</v>
      </c>
      <c r="G347" s="268">
        <f>SUM(G348:G348)</f>
        <v>3000</v>
      </c>
      <c r="H347" s="193">
        <f t="shared" si="43"/>
        <v>100</v>
      </c>
      <c r="I347" s="192">
        <f t="shared" si="41"/>
        <v>100</v>
      </c>
      <c r="J347" s="347">
        <f t="shared" si="42"/>
        <v>0.014186409419775853</v>
      </c>
    </row>
    <row r="348" spans="1:10" ht="12.75">
      <c r="A348" s="141" t="s">
        <v>33</v>
      </c>
      <c r="B348" s="35"/>
      <c r="C348" s="35">
        <v>511300</v>
      </c>
      <c r="D348" s="35" t="s">
        <v>2</v>
      </c>
      <c r="E348" s="204">
        <v>3000</v>
      </c>
      <c r="F348" s="204">
        <v>3000</v>
      </c>
      <c r="G348" s="204">
        <v>3000</v>
      </c>
      <c r="H348" s="218">
        <f t="shared" si="43"/>
        <v>100</v>
      </c>
      <c r="I348" s="349">
        <f t="shared" si="41"/>
        <v>100</v>
      </c>
      <c r="J348" s="351">
        <f t="shared" si="42"/>
        <v>0.014186409419775853</v>
      </c>
    </row>
    <row r="349" spans="1:10" ht="24">
      <c r="A349" s="214"/>
      <c r="B349" s="25">
        <v>516000</v>
      </c>
      <c r="C349" s="35"/>
      <c r="D349" s="34" t="s">
        <v>387</v>
      </c>
      <c r="E349" s="268">
        <f>SUM(E350)</f>
        <v>1000</v>
      </c>
      <c r="F349" s="268">
        <f>SUM(F350)</f>
        <v>1000</v>
      </c>
      <c r="G349" s="268">
        <f>SUM(G350)</f>
        <v>500</v>
      </c>
      <c r="H349" s="193">
        <f t="shared" si="43"/>
        <v>50</v>
      </c>
      <c r="I349" s="192">
        <f t="shared" si="41"/>
        <v>50</v>
      </c>
      <c r="J349" s="347">
        <f t="shared" si="42"/>
        <v>0.0023644015699626425</v>
      </c>
    </row>
    <row r="350" spans="1:10" ht="14.25" customHeight="1">
      <c r="A350" s="141" t="s">
        <v>33</v>
      </c>
      <c r="B350" s="35"/>
      <c r="C350" s="35">
        <v>516100</v>
      </c>
      <c r="D350" s="32" t="s">
        <v>363</v>
      </c>
      <c r="E350" s="204">
        <v>1000</v>
      </c>
      <c r="F350" s="204">
        <v>1000</v>
      </c>
      <c r="G350" s="204">
        <v>500</v>
      </c>
      <c r="H350" s="218">
        <f t="shared" si="43"/>
        <v>50</v>
      </c>
      <c r="I350" s="349">
        <f t="shared" si="41"/>
        <v>50</v>
      </c>
      <c r="J350" s="351">
        <f t="shared" si="42"/>
        <v>0.0023644015699626425</v>
      </c>
    </row>
    <row r="351" spans="1:10" ht="24.75" customHeight="1">
      <c r="A351" s="580"/>
      <c r="B351" s="581"/>
      <c r="C351" s="590" t="s">
        <v>94</v>
      </c>
      <c r="D351" s="590"/>
      <c r="E351" s="73">
        <f>E337+E339+E347+E349</f>
        <v>75500</v>
      </c>
      <c r="F351" s="73">
        <f>F337+F339+F347+F349</f>
        <v>74367</v>
      </c>
      <c r="G351" s="73">
        <f>G337+G339+G347+G349</f>
        <v>74500</v>
      </c>
      <c r="H351" s="356">
        <f t="shared" si="43"/>
        <v>100.17884276628075</v>
      </c>
      <c r="I351" s="357">
        <f t="shared" si="41"/>
        <v>98.67549668874173</v>
      </c>
      <c r="J351" s="359">
        <f t="shared" si="42"/>
        <v>0.3522958339244337</v>
      </c>
    </row>
    <row r="352" spans="1:10" ht="9.75" customHeight="1">
      <c r="A352" s="580"/>
      <c r="B352" s="581"/>
      <c r="C352" s="584" t="s">
        <v>284</v>
      </c>
      <c r="D352" s="585"/>
      <c r="E352" s="397"/>
      <c r="F352" s="180"/>
      <c r="G352" s="180"/>
      <c r="H352" s="180"/>
      <c r="I352" s="416"/>
      <c r="J352" s="441"/>
    </row>
    <row r="353" spans="1:10" ht="30" customHeight="1">
      <c r="A353" s="580"/>
      <c r="B353" s="581"/>
      <c r="C353" s="586"/>
      <c r="D353" s="585"/>
      <c r="E353" s="399"/>
      <c r="F353" s="182"/>
      <c r="G353" s="182"/>
      <c r="H353" s="182"/>
      <c r="I353" s="400"/>
      <c r="J353" s="443"/>
    </row>
    <row r="354" spans="1:10" ht="14.25" customHeight="1">
      <c r="A354" s="30"/>
      <c r="B354" s="25">
        <v>411000</v>
      </c>
      <c r="C354" s="27"/>
      <c r="D354" s="38" t="s">
        <v>437</v>
      </c>
      <c r="E354" s="415">
        <f>SUM(E355)</f>
        <v>38000</v>
      </c>
      <c r="F354" s="415">
        <f>SUM(F355)</f>
        <v>24050</v>
      </c>
      <c r="G354" s="415">
        <f>SUM(G355)</f>
        <v>28000</v>
      </c>
      <c r="H354" s="415">
        <f>G354/F354*100</f>
        <v>116.42411642411643</v>
      </c>
      <c r="I354" s="407">
        <f aca="true" t="shared" si="44" ref="I354:I372">IF(E354&gt;0,G354/E354*100,0)</f>
        <v>73.68421052631578</v>
      </c>
      <c r="J354" s="417">
        <f aca="true" t="shared" si="45" ref="J354:J372">G354/$G$491*100</f>
        <v>0.132406487917908</v>
      </c>
    </row>
    <row r="355" spans="1:10" ht="14.25" customHeight="1">
      <c r="A355" s="141" t="s">
        <v>58</v>
      </c>
      <c r="B355" s="35"/>
      <c r="C355" s="19">
        <v>411200</v>
      </c>
      <c r="D355" s="31" t="s">
        <v>3</v>
      </c>
      <c r="E355" s="204">
        <v>38000</v>
      </c>
      <c r="F355" s="204">
        <v>24050</v>
      </c>
      <c r="G355" s="204">
        <v>28000</v>
      </c>
      <c r="H355" s="218">
        <f aca="true" t="shared" si="46" ref="H355:H372">G355/F355*100</f>
        <v>116.42411642411643</v>
      </c>
      <c r="I355" s="349">
        <f t="shared" si="44"/>
        <v>73.68421052631578</v>
      </c>
      <c r="J355" s="351">
        <f t="shared" si="45"/>
        <v>0.132406487917908</v>
      </c>
    </row>
    <row r="356" spans="1:10" ht="14.25" customHeight="1">
      <c r="A356" s="30"/>
      <c r="B356" s="25">
        <v>412000</v>
      </c>
      <c r="C356" s="19"/>
      <c r="D356" s="38" t="s">
        <v>145</v>
      </c>
      <c r="E356" s="193">
        <f>SUM(E357:E364)</f>
        <v>54500</v>
      </c>
      <c r="F356" s="193">
        <f>SUM(F357:F364)</f>
        <v>56875</v>
      </c>
      <c r="G356" s="193">
        <f>SUM(G357:G364)</f>
        <v>56000</v>
      </c>
      <c r="H356" s="193">
        <f t="shared" si="46"/>
        <v>98.46153846153847</v>
      </c>
      <c r="I356" s="192">
        <f t="shared" si="44"/>
        <v>102.75229357798166</v>
      </c>
      <c r="J356" s="347">
        <f t="shared" si="45"/>
        <v>0.264812975835816</v>
      </c>
    </row>
    <row r="357" spans="1:10" ht="24">
      <c r="A357" s="93" t="s">
        <v>58</v>
      </c>
      <c r="B357" s="25"/>
      <c r="C357" s="19">
        <v>412200</v>
      </c>
      <c r="D357" s="32" t="s">
        <v>147</v>
      </c>
      <c r="E357" s="204">
        <v>18500</v>
      </c>
      <c r="F357" s="204">
        <v>21500</v>
      </c>
      <c r="G357" s="204">
        <v>21000</v>
      </c>
      <c r="H357" s="218">
        <f t="shared" si="46"/>
        <v>97.67441860465115</v>
      </c>
      <c r="I357" s="349">
        <f t="shared" si="44"/>
        <v>113.51351351351352</v>
      </c>
      <c r="J357" s="351">
        <f t="shared" si="45"/>
        <v>0.09930486593843098</v>
      </c>
    </row>
    <row r="358" spans="1:10" ht="24">
      <c r="A358" s="93" t="s">
        <v>58</v>
      </c>
      <c r="B358" s="25"/>
      <c r="C358" s="19">
        <v>412200</v>
      </c>
      <c r="D358" s="32" t="s">
        <v>473</v>
      </c>
      <c r="E358" s="204">
        <v>0</v>
      </c>
      <c r="F358" s="204">
        <v>375</v>
      </c>
      <c r="G358" s="204">
        <v>0</v>
      </c>
      <c r="H358" s="218">
        <f t="shared" si="46"/>
        <v>0</v>
      </c>
      <c r="I358" s="349">
        <f t="shared" si="44"/>
        <v>0</v>
      </c>
      <c r="J358" s="351">
        <f t="shared" si="45"/>
        <v>0</v>
      </c>
    </row>
    <row r="359" spans="1:10" ht="12.75">
      <c r="A359" s="93" t="s">
        <v>58</v>
      </c>
      <c r="B359" s="25"/>
      <c r="C359" s="19">
        <v>412300</v>
      </c>
      <c r="D359" s="35" t="s">
        <v>148</v>
      </c>
      <c r="E359" s="204">
        <v>3000</v>
      </c>
      <c r="F359" s="204">
        <v>3000</v>
      </c>
      <c r="G359" s="204">
        <v>3500</v>
      </c>
      <c r="H359" s="218">
        <f t="shared" si="46"/>
        <v>116.66666666666667</v>
      </c>
      <c r="I359" s="349">
        <f t="shared" si="44"/>
        <v>116.66666666666667</v>
      </c>
      <c r="J359" s="351">
        <f t="shared" si="45"/>
        <v>0.0165508109897385</v>
      </c>
    </row>
    <row r="360" spans="1:10" ht="12.75">
      <c r="A360" s="93" t="s">
        <v>58</v>
      </c>
      <c r="B360" s="25"/>
      <c r="C360" s="19">
        <v>412400</v>
      </c>
      <c r="D360" s="32" t="s">
        <v>149</v>
      </c>
      <c r="E360" s="204">
        <v>12000</v>
      </c>
      <c r="F360" s="204">
        <v>12000</v>
      </c>
      <c r="G360" s="204">
        <v>12000</v>
      </c>
      <c r="H360" s="218">
        <f t="shared" si="46"/>
        <v>100</v>
      </c>
      <c r="I360" s="349">
        <f t="shared" si="44"/>
        <v>100</v>
      </c>
      <c r="J360" s="351">
        <f t="shared" si="45"/>
        <v>0.056745637679103414</v>
      </c>
    </row>
    <row r="361" spans="1:10" ht="12.75">
      <c r="A361" s="93" t="s">
        <v>58</v>
      </c>
      <c r="B361" s="25"/>
      <c r="C361" s="19">
        <v>412500</v>
      </c>
      <c r="D361" s="35" t="s">
        <v>150</v>
      </c>
      <c r="E361" s="204">
        <v>5000</v>
      </c>
      <c r="F361" s="204">
        <v>5000</v>
      </c>
      <c r="G361" s="204">
        <v>5000</v>
      </c>
      <c r="H361" s="218">
        <f t="shared" si="46"/>
        <v>100</v>
      </c>
      <c r="I361" s="349">
        <f t="shared" si="44"/>
        <v>100</v>
      </c>
      <c r="J361" s="351">
        <f t="shared" si="45"/>
        <v>0.023644015699626424</v>
      </c>
    </row>
    <row r="362" spans="1:10" ht="12.75">
      <c r="A362" s="93" t="s">
        <v>58</v>
      </c>
      <c r="B362" s="25"/>
      <c r="C362" s="19">
        <v>412600</v>
      </c>
      <c r="D362" s="35" t="s">
        <v>151</v>
      </c>
      <c r="E362" s="204">
        <v>2000</v>
      </c>
      <c r="F362" s="204">
        <v>1460</v>
      </c>
      <c r="G362" s="204">
        <v>1500</v>
      </c>
      <c r="H362" s="218">
        <f t="shared" si="46"/>
        <v>102.73972602739727</v>
      </c>
      <c r="I362" s="349">
        <f t="shared" si="44"/>
        <v>75</v>
      </c>
      <c r="J362" s="351">
        <f t="shared" si="45"/>
        <v>0.007093204709887927</v>
      </c>
    </row>
    <row r="363" spans="1:10" ht="12.75">
      <c r="A363" s="93" t="s">
        <v>58</v>
      </c>
      <c r="B363" s="25"/>
      <c r="C363" s="80">
        <v>412700</v>
      </c>
      <c r="D363" s="80" t="s">
        <v>152</v>
      </c>
      <c r="E363" s="204">
        <v>10000</v>
      </c>
      <c r="F363" s="204">
        <v>9420</v>
      </c>
      <c r="G363" s="189">
        <v>9000</v>
      </c>
      <c r="H363" s="218">
        <f t="shared" si="46"/>
        <v>95.54140127388536</v>
      </c>
      <c r="I363" s="349">
        <f t="shared" si="44"/>
        <v>90</v>
      </c>
      <c r="J363" s="351">
        <f t="shared" si="45"/>
        <v>0.042559228259327564</v>
      </c>
    </row>
    <row r="364" spans="1:10" ht="12.75">
      <c r="A364" s="93" t="s">
        <v>58</v>
      </c>
      <c r="B364" s="25"/>
      <c r="C364" s="80">
        <v>412900</v>
      </c>
      <c r="D364" s="80" t="s">
        <v>154</v>
      </c>
      <c r="E364" s="204">
        <v>4000</v>
      </c>
      <c r="F364" s="204">
        <v>4120</v>
      </c>
      <c r="G364" s="204">
        <v>4000</v>
      </c>
      <c r="H364" s="218">
        <f t="shared" si="46"/>
        <v>97.0873786407767</v>
      </c>
      <c r="I364" s="349">
        <f t="shared" si="44"/>
        <v>100</v>
      </c>
      <c r="J364" s="351">
        <f t="shared" si="45"/>
        <v>0.01891521255970114</v>
      </c>
    </row>
    <row r="365" spans="1:10" ht="12.75">
      <c r="A365" s="93"/>
      <c r="B365" s="25">
        <v>419100</v>
      </c>
      <c r="C365" s="80"/>
      <c r="D365" s="37" t="s">
        <v>482</v>
      </c>
      <c r="E365" s="366">
        <f>E366</f>
        <v>0</v>
      </c>
      <c r="F365" s="366">
        <f>F366</f>
        <v>0</v>
      </c>
      <c r="G365" s="366">
        <f>G366</f>
        <v>4150</v>
      </c>
      <c r="H365" s="366" t="e">
        <f t="shared" si="46"/>
        <v>#DIV/0!</v>
      </c>
      <c r="I365" s="367">
        <f t="shared" si="44"/>
        <v>0</v>
      </c>
      <c r="J365" s="368">
        <f t="shared" si="45"/>
        <v>0.019624533030689933</v>
      </c>
    </row>
    <row r="366" spans="1:10" ht="12.75">
      <c r="A366" s="93" t="s">
        <v>58</v>
      </c>
      <c r="B366" s="25"/>
      <c r="C366" s="80">
        <v>419100</v>
      </c>
      <c r="D366" s="35" t="s">
        <v>482</v>
      </c>
      <c r="E366" s="204">
        <v>0</v>
      </c>
      <c r="F366" s="204">
        <v>0</v>
      </c>
      <c r="G366" s="204">
        <v>4150</v>
      </c>
      <c r="H366" s="218" t="e">
        <f t="shared" si="46"/>
        <v>#DIV/0!</v>
      </c>
      <c r="I366" s="349">
        <f t="shared" si="44"/>
        <v>0</v>
      </c>
      <c r="J366" s="351">
        <f t="shared" si="45"/>
        <v>0.019624533030689933</v>
      </c>
    </row>
    <row r="367" spans="1:10" ht="14.25" customHeight="1">
      <c r="A367" s="141"/>
      <c r="B367" s="25">
        <v>511000</v>
      </c>
      <c r="C367" s="19"/>
      <c r="D367" s="34" t="s">
        <v>163</v>
      </c>
      <c r="E367" s="193">
        <f>SUM(E368:E369)</f>
        <v>2000</v>
      </c>
      <c r="F367" s="193">
        <f>SUM(F369:F371)</f>
        <v>3600</v>
      </c>
      <c r="G367" s="193">
        <f>SUM(G369:G371)</f>
        <v>4000</v>
      </c>
      <c r="H367" s="193">
        <f t="shared" si="46"/>
        <v>111.11111111111111</v>
      </c>
      <c r="I367" s="192">
        <f t="shared" si="44"/>
        <v>200</v>
      </c>
      <c r="J367" s="347">
        <f t="shared" si="45"/>
        <v>0.01891521255970114</v>
      </c>
    </row>
    <row r="368" spans="1:10" ht="26.25" customHeight="1" hidden="1">
      <c r="A368" s="141" t="s">
        <v>58</v>
      </c>
      <c r="B368" s="25"/>
      <c r="C368" s="19">
        <v>511200</v>
      </c>
      <c r="D368" s="32" t="s">
        <v>174</v>
      </c>
      <c r="E368" s="204"/>
      <c r="F368" s="204"/>
      <c r="G368" s="204"/>
      <c r="H368" s="193" t="e">
        <f t="shared" si="46"/>
        <v>#DIV/0!</v>
      </c>
      <c r="I368" s="192">
        <f t="shared" si="44"/>
        <v>0</v>
      </c>
      <c r="J368" s="347">
        <f t="shared" si="45"/>
        <v>0</v>
      </c>
    </row>
    <row r="369" spans="1:10" ht="15.75" customHeight="1">
      <c r="A369" s="141" t="s">
        <v>58</v>
      </c>
      <c r="B369" s="35"/>
      <c r="C369" s="19">
        <v>511300</v>
      </c>
      <c r="D369" s="35" t="s">
        <v>2</v>
      </c>
      <c r="E369" s="204">
        <v>2000</v>
      </c>
      <c r="F369" s="204">
        <v>2000</v>
      </c>
      <c r="G369" s="204">
        <v>4000</v>
      </c>
      <c r="H369" s="218">
        <f t="shared" si="46"/>
        <v>200</v>
      </c>
      <c r="I369" s="349">
        <f t="shared" si="44"/>
        <v>200</v>
      </c>
      <c r="J369" s="351">
        <f t="shared" si="45"/>
        <v>0.01891521255970114</v>
      </c>
    </row>
    <row r="370" spans="1:10" ht="27" customHeight="1">
      <c r="A370" s="141" t="s">
        <v>58</v>
      </c>
      <c r="B370" s="35"/>
      <c r="C370" s="19">
        <v>511300</v>
      </c>
      <c r="D370" s="32" t="s">
        <v>546</v>
      </c>
      <c r="E370" s="204">
        <v>0</v>
      </c>
      <c r="F370" s="204">
        <v>500</v>
      </c>
      <c r="G370" s="204">
        <v>0</v>
      </c>
      <c r="H370" s="218">
        <f t="shared" si="46"/>
        <v>0</v>
      </c>
      <c r="I370" s="349">
        <f t="shared" si="44"/>
        <v>0</v>
      </c>
      <c r="J370" s="351">
        <f t="shared" si="45"/>
        <v>0</v>
      </c>
    </row>
    <row r="371" spans="1:10" ht="15.75" customHeight="1">
      <c r="A371" s="141" t="s">
        <v>58</v>
      </c>
      <c r="B371" s="35"/>
      <c r="C371" s="19">
        <v>511300</v>
      </c>
      <c r="D371" s="35" t="s">
        <v>474</v>
      </c>
      <c r="E371" s="204">
        <v>0</v>
      </c>
      <c r="F371" s="204">
        <v>1100</v>
      </c>
      <c r="G371" s="204">
        <v>0</v>
      </c>
      <c r="H371" s="218">
        <f t="shared" si="46"/>
        <v>0</v>
      </c>
      <c r="I371" s="349">
        <f t="shared" si="44"/>
        <v>0</v>
      </c>
      <c r="J371" s="351">
        <f t="shared" si="45"/>
        <v>0</v>
      </c>
    </row>
    <row r="372" spans="1:10" ht="30" customHeight="1">
      <c r="A372" s="580"/>
      <c r="B372" s="581"/>
      <c r="C372" s="590" t="s">
        <v>95</v>
      </c>
      <c r="D372" s="591"/>
      <c r="E372" s="73">
        <f>E354+E356+E367</f>
        <v>94500</v>
      </c>
      <c r="F372" s="73">
        <f>F354+F356+F367</f>
        <v>84525</v>
      </c>
      <c r="G372" s="73">
        <f>G354+G356+G367+G365</f>
        <v>92150</v>
      </c>
      <c r="H372" s="356">
        <f t="shared" si="46"/>
        <v>109.02099970422951</v>
      </c>
      <c r="I372" s="357">
        <f t="shared" si="44"/>
        <v>97.51322751322752</v>
      </c>
      <c r="J372" s="359">
        <f t="shared" si="45"/>
        <v>0.435759209344115</v>
      </c>
    </row>
    <row r="373" spans="1:10" ht="25.5" customHeight="1">
      <c r="A373" s="602"/>
      <c r="B373" s="600"/>
      <c r="C373" s="584" t="s">
        <v>493</v>
      </c>
      <c r="D373" s="586"/>
      <c r="E373" s="592"/>
      <c r="F373" s="593"/>
      <c r="G373" s="593"/>
      <c r="H373" s="593"/>
      <c r="I373" s="593"/>
      <c r="J373" s="594"/>
    </row>
    <row r="374" spans="1:10" ht="15.75" customHeight="1">
      <c r="A374" s="603"/>
      <c r="B374" s="601"/>
      <c r="C374" s="586"/>
      <c r="D374" s="586"/>
      <c r="E374" s="595"/>
      <c r="F374" s="596"/>
      <c r="G374" s="596"/>
      <c r="H374" s="596"/>
      <c r="I374" s="596"/>
      <c r="J374" s="597"/>
    </row>
    <row r="375" spans="1:10" ht="12.75">
      <c r="A375" s="404"/>
      <c r="B375" s="381" t="s">
        <v>494</v>
      </c>
      <c r="C375" s="380"/>
      <c r="D375" s="38" t="s">
        <v>437</v>
      </c>
      <c r="E375" s="415">
        <f>E376</f>
        <v>0</v>
      </c>
      <c r="F375" s="415">
        <f>F376</f>
        <v>0</v>
      </c>
      <c r="G375" s="415">
        <f>SUM(G376)</f>
        <v>3000</v>
      </c>
      <c r="H375" s="415" t="e">
        <f>G375/F375*100</f>
        <v>#DIV/0!</v>
      </c>
      <c r="I375" s="407">
        <f aca="true" t="shared" si="47" ref="I375:I383">IF(E375&gt;0,G375/E375*100,0)</f>
        <v>0</v>
      </c>
      <c r="J375" s="417">
        <f>G375/$G$491*100</f>
        <v>0.014186409419775853</v>
      </c>
    </row>
    <row r="376" spans="1:10" ht="12.75">
      <c r="A376" s="383" t="s">
        <v>33</v>
      </c>
      <c r="B376" s="381"/>
      <c r="C376" s="384">
        <v>411200</v>
      </c>
      <c r="D376" s="31" t="s">
        <v>3</v>
      </c>
      <c r="E376" s="350">
        <v>0</v>
      </c>
      <c r="F376" s="350">
        <v>0</v>
      </c>
      <c r="G376" s="72">
        <v>3000</v>
      </c>
      <c r="H376" s="350" t="e">
        <f>G376/F376*100</f>
        <v>#DIV/0!</v>
      </c>
      <c r="I376" s="370">
        <f t="shared" si="47"/>
        <v>0</v>
      </c>
      <c r="J376" s="351">
        <f aca="true" t="shared" si="48" ref="J376:J383">G376/$G$491*100</f>
        <v>0.014186409419775853</v>
      </c>
    </row>
    <row r="377" spans="1:10" ht="12.75">
      <c r="A377" s="383"/>
      <c r="B377" s="381" t="s">
        <v>495</v>
      </c>
      <c r="C377" s="380"/>
      <c r="D377" s="38" t="s">
        <v>145</v>
      </c>
      <c r="E377" s="415">
        <f>SUM(E378:E382)</f>
        <v>0</v>
      </c>
      <c r="F377" s="415">
        <f>SUM(F378:F382)</f>
        <v>0</v>
      </c>
      <c r="G377" s="415">
        <f>SUM(G378:G382)</f>
        <v>8500</v>
      </c>
      <c r="H377" s="415" t="e">
        <f aca="true" t="shared" si="49" ref="H377:H383">G377/F377*100</f>
        <v>#DIV/0!</v>
      </c>
      <c r="I377" s="407">
        <f t="shared" si="47"/>
        <v>0</v>
      </c>
      <c r="J377" s="417">
        <f t="shared" si="48"/>
        <v>0.04019482668936492</v>
      </c>
    </row>
    <row r="378" spans="1:10" ht="24">
      <c r="A378" s="383" t="s">
        <v>33</v>
      </c>
      <c r="B378" s="381"/>
      <c r="C378" s="384">
        <v>412200</v>
      </c>
      <c r="D378" s="32" t="s">
        <v>147</v>
      </c>
      <c r="E378" s="350">
        <v>0</v>
      </c>
      <c r="F378" s="350">
        <v>0</v>
      </c>
      <c r="G378" s="72">
        <v>6000</v>
      </c>
      <c r="H378" s="350" t="e">
        <f t="shared" si="49"/>
        <v>#DIV/0!</v>
      </c>
      <c r="I378" s="370">
        <f t="shared" si="47"/>
        <v>0</v>
      </c>
      <c r="J378" s="351">
        <f t="shared" si="48"/>
        <v>0.028372818839551707</v>
      </c>
    </row>
    <row r="379" spans="1:10" ht="12.75">
      <c r="A379" s="383" t="s">
        <v>33</v>
      </c>
      <c r="B379" s="381"/>
      <c r="C379" s="384">
        <v>412300</v>
      </c>
      <c r="D379" s="35" t="s">
        <v>148</v>
      </c>
      <c r="E379" s="350">
        <v>0</v>
      </c>
      <c r="F379" s="350">
        <v>0</v>
      </c>
      <c r="G379" s="72">
        <v>700</v>
      </c>
      <c r="H379" s="350" t="e">
        <f t="shared" si="49"/>
        <v>#DIV/0!</v>
      </c>
      <c r="I379" s="370">
        <f t="shared" si="47"/>
        <v>0</v>
      </c>
      <c r="J379" s="351">
        <f t="shared" si="48"/>
        <v>0.0033101621979476996</v>
      </c>
    </row>
    <row r="380" spans="1:10" ht="12.75">
      <c r="A380" s="383" t="s">
        <v>33</v>
      </c>
      <c r="B380" s="381"/>
      <c r="C380" s="384">
        <v>412400</v>
      </c>
      <c r="D380" s="32" t="s">
        <v>149</v>
      </c>
      <c r="E380" s="350"/>
      <c r="F380" s="350">
        <v>0</v>
      </c>
      <c r="G380" s="72">
        <v>200</v>
      </c>
      <c r="H380" s="350" t="e">
        <f t="shared" si="49"/>
        <v>#DIV/0!</v>
      </c>
      <c r="I380" s="370">
        <f t="shared" si="47"/>
        <v>0</v>
      </c>
      <c r="J380" s="351">
        <f t="shared" si="48"/>
        <v>0.0009457606279850571</v>
      </c>
    </row>
    <row r="381" spans="1:10" ht="12.75">
      <c r="A381" s="383" t="s">
        <v>33</v>
      </c>
      <c r="B381" s="381"/>
      <c r="C381" s="384">
        <v>412700</v>
      </c>
      <c r="D381" s="80" t="s">
        <v>152</v>
      </c>
      <c r="E381" s="350">
        <v>0</v>
      </c>
      <c r="F381" s="350">
        <v>0</v>
      </c>
      <c r="G381" s="72">
        <v>1000</v>
      </c>
      <c r="H381" s="350" t="e">
        <f t="shared" si="49"/>
        <v>#DIV/0!</v>
      </c>
      <c r="I381" s="370">
        <f t="shared" si="47"/>
        <v>0</v>
      </c>
      <c r="J381" s="351">
        <f t="shared" si="48"/>
        <v>0.004728803139925285</v>
      </c>
    </row>
    <row r="382" spans="1:10" ht="12.75">
      <c r="A382" s="383" t="s">
        <v>33</v>
      </c>
      <c r="B382" s="381"/>
      <c r="C382" s="384">
        <v>412900</v>
      </c>
      <c r="D382" s="80" t="s">
        <v>154</v>
      </c>
      <c r="E382" s="350">
        <v>0</v>
      </c>
      <c r="F382" s="350">
        <v>0</v>
      </c>
      <c r="G382" s="350">
        <v>600</v>
      </c>
      <c r="H382" s="350" t="e">
        <f t="shared" si="49"/>
        <v>#DIV/0!</v>
      </c>
      <c r="I382" s="370">
        <f t="shared" si="47"/>
        <v>0</v>
      </c>
      <c r="J382" s="351">
        <f t="shared" si="48"/>
        <v>0.002837281883955171</v>
      </c>
    </row>
    <row r="383" spans="1:10" ht="30" customHeight="1">
      <c r="A383" s="598"/>
      <c r="B383" s="599"/>
      <c r="C383" s="590" t="s">
        <v>496</v>
      </c>
      <c r="D383" s="591"/>
      <c r="E383" s="418">
        <f>E375+E377</f>
        <v>0</v>
      </c>
      <c r="F383" s="418">
        <f>F375+F377</f>
        <v>0</v>
      </c>
      <c r="G383" s="418">
        <f>G375+G377</f>
        <v>11500</v>
      </c>
      <c r="H383" s="418" t="e">
        <f t="shared" si="49"/>
        <v>#DIV/0!</v>
      </c>
      <c r="I383" s="419">
        <f t="shared" si="47"/>
        <v>0</v>
      </c>
      <c r="J383" s="395">
        <f t="shared" si="48"/>
        <v>0.05438123610914077</v>
      </c>
    </row>
    <row r="384" spans="1:10" ht="9.75" customHeight="1">
      <c r="A384" s="580"/>
      <c r="B384" s="581"/>
      <c r="C384" s="584" t="s">
        <v>384</v>
      </c>
      <c r="D384" s="585"/>
      <c r="E384" s="397"/>
      <c r="F384" s="180"/>
      <c r="G384" s="180"/>
      <c r="H384" s="180"/>
      <c r="I384" s="416"/>
      <c r="J384" s="441"/>
    </row>
    <row r="385" spans="1:10" ht="30" customHeight="1">
      <c r="A385" s="580"/>
      <c r="B385" s="581"/>
      <c r="C385" s="586"/>
      <c r="D385" s="585"/>
      <c r="E385" s="399"/>
      <c r="F385" s="182"/>
      <c r="G385" s="182"/>
      <c r="H385" s="182"/>
      <c r="I385" s="400"/>
      <c r="J385" s="443"/>
    </row>
    <row r="386" spans="1:10" ht="14.25" customHeight="1">
      <c r="A386" s="141"/>
      <c r="B386" s="25">
        <v>411000</v>
      </c>
      <c r="C386" s="35"/>
      <c r="D386" s="28" t="s">
        <v>437</v>
      </c>
      <c r="E386" s="406">
        <f>SUM(E387:E390)</f>
        <v>120500</v>
      </c>
      <c r="F386" s="406">
        <f>SUM(F387:F390)</f>
        <v>138300</v>
      </c>
      <c r="G386" s="406">
        <f>SUM(G387:G390)</f>
        <v>95000</v>
      </c>
      <c r="H386" s="415">
        <f>G386/F386*100</f>
        <v>68.69125090383224</v>
      </c>
      <c r="I386" s="407">
        <f aca="true" t="shared" si="50" ref="I386:I408">IF(E386&gt;0,G386/E386*100,0)</f>
        <v>78.83817427385893</v>
      </c>
      <c r="J386" s="417">
        <f aca="true" t="shared" si="51" ref="J386:J408">G386/$G$491*100</f>
        <v>0.44923629829290207</v>
      </c>
    </row>
    <row r="387" spans="1:10" ht="12.75">
      <c r="A387" s="141" t="s">
        <v>37</v>
      </c>
      <c r="B387" s="35"/>
      <c r="C387" s="19">
        <v>411100</v>
      </c>
      <c r="D387" s="29" t="s">
        <v>431</v>
      </c>
      <c r="E387" s="204">
        <v>90000</v>
      </c>
      <c r="F387" s="204">
        <v>107800</v>
      </c>
      <c r="G387" s="204">
        <v>73000</v>
      </c>
      <c r="H387" s="218">
        <f aca="true" t="shared" si="52" ref="H387:H408">G387/F387*100</f>
        <v>67.71799628942486</v>
      </c>
      <c r="I387" s="349">
        <f t="shared" si="50"/>
        <v>81.11111111111111</v>
      </c>
      <c r="J387" s="351">
        <f t="shared" si="51"/>
        <v>0.3452026292145458</v>
      </c>
    </row>
    <row r="388" spans="1:10" ht="24">
      <c r="A388" s="141" t="s">
        <v>37</v>
      </c>
      <c r="B388" s="35"/>
      <c r="C388" s="19">
        <v>411200</v>
      </c>
      <c r="D388" s="29" t="s">
        <v>438</v>
      </c>
      <c r="E388" s="204">
        <v>23000</v>
      </c>
      <c r="F388" s="204">
        <v>23000</v>
      </c>
      <c r="G388" s="204">
        <v>20000</v>
      </c>
      <c r="H388" s="218">
        <f t="shared" si="52"/>
        <v>86.95652173913044</v>
      </c>
      <c r="I388" s="349">
        <f t="shared" si="50"/>
        <v>86.95652173913044</v>
      </c>
      <c r="J388" s="351">
        <f t="shared" si="51"/>
        <v>0.0945760627985057</v>
      </c>
    </row>
    <row r="389" spans="1:10" ht="15" customHeight="1">
      <c r="A389" s="141" t="s">
        <v>37</v>
      </c>
      <c r="B389" s="35"/>
      <c r="C389" s="19">
        <v>411300</v>
      </c>
      <c r="D389" s="29" t="s">
        <v>432</v>
      </c>
      <c r="E389" s="204">
        <v>2500</v>
      </c>
      <c r="F389" s="204">
        <v>2500</v>
      </c>
      <c r="G389" s="204">
        <v>1000</v>
      </c>
      <c r="H389" s="218">
        <f t="shared" si="52"/>
        <v>40</v>
      </c>
      <c r="I389" s="349">
        <f t="shared" si="50"/>
        <v>40</v>
      </c>
      <c r="J389" s="351">
        <f t="shared" si="51"/>
        <v>0.004728803139925285</v>
      </c>
    </row>
    <row r="390" spans="1:10" ht="12.75">
      <c r="A390" s="141" t="s">
        <v>37</v>
      </c>
      <c r="B390" s="35"/>
      <c r="C390" s="19">
        <v>411400</v>
      </c>
      <c r="D390" s="31" t="s">
        <v>433</v>
      </c>
      <c r="E390" s="204">
        <v>5000</v>
      </c>
      <c r="F390" s="204">
        <v>5000</v>
      </c>
      <c r="G390" s="204">
        <v>1000</v>
      </c>
      <c r="H390" s="218">
        <f t="shared" si="52"/>
        <v>20</v>
      </c>
      <c r="I390" s="349">
        <f t="shared" si="50"/>
        <v>20</v>
      </c>
      <c r="J390" s="351">
        <f t="shared" si="51"/>
        <v>0.004728803139925285</v>
      </c>
    </row>
    <row r="391" spans="1:10" ht="14.25" customHeight="1">
      <c r="A391" s="141"/>
      <c r="B391" s="25">
        <v>412000</v>
      </c>
      <c r="C391" s="19"/>
      <c r="D391" s="34" t="s">
        <v>145</v>
      </c>
      <c r="E391" s="193">
        <f>SUM(E392:E400)</f>
        <v>40000</v>
      </c>
      <c r="F391" s="193">
        <f>SUM(F392:F400)</f>
        <v>51450</v>
      </c>
      <c r="G391" s="193">
        <f>SUM(G392:G400)</f>
        <v>44500</v>
      </c>
      <c r="H391" s="193">
        <f t="shared" si="52"/>
        <v>86.49173955296405</v>
      </c>
      <c r="I391" s="192">
        <f t="shared" si="50"/>
        <v>111.25</v>
      </c>
      <c r="J391" s="347">
        <f t="shared" si="51"/>
        <v>0.21043173972667517</v>
      </c>
    </row>
    <row r="392" spans="1:10" ht="24">
      <c r="A392" s="141" t="s">
        <v>37</v>
      </c>
      <c r="B392" s="25"/>
      <c r="C392" s="19">
        <v>412200</v>
      </c>
      <c r="D392" s="32" t="s">
        <v>147</v>
      </c>
      <c r="E392" s="204">
        <v>14000</v>
      </c>
      <c r="F392" s="204">
        <v>14000</v>
      </c>
      <c r="G392" s="204">
        <v>15000</v>
      </c>
      <c r="H392" s="218">
        <f t="shared" si="52"/>
        <v>107.14285714285714</v>
      </c>
      <c r="I392" s="349">
        <f t="shared" si="50"/>
        <v>107.14285714285714</v>
      </c>
      <c r="J392" s="351">
        <f t="shared" si="51"/>
        <v>0.07093204709887928</v>
      </c>
    </row>
    <row r="393" spans="1:10" ht="12.75">
      <c r="A393" s="141" t="s">
        <v>37</v>
      </c>
      <c r="B393" s="25"/>
      <c r="C393" s="19">
        <v>412300</v>
      </c>
      <c r="D393" s="35" t="s">
        <v>148</v>
      </c>
      <c r="E393" s="204">
        <v>1000</v>
      </c>
      <c r="F393" s="204">
        <v>1000</v>
      </c>
      <c r="G393" s="204">
        <v>1000</v>
      </c>
      <c r="H393" s="218">
        <f t="shared" si="52"/>
        <v>100</v>
      </c>
      <c r="I393" s="349">
        <f t="shared" si="50"/>
        <v>100</v>
      </c>
      <c r="J393" s="351">
        <f t="shared" si="51"/>
        <v>0.004728803139925285</v>
      </c>
    </row>
    <row r="394" spans="1:10" ht="12.75">
      <c r="A394" s="141" t="s">
        <v>37</v>
      </c>
      <c r="B394" s="25"/>
      <c r="C394" s="19">
        <v>412500</v>
      </c>
      <c r="D394" s="35" t="s">
        <v>150</v>
      </c>
      <c r="E394" s="204">
        <v>1000</v>
      </c>
      <c r="F394" s="204">
        <v>1000</v>
      </c>
      <c r="G394" s="204">
        <v>1000</v>
      </c>
      <c r="H394" s="218">
        <f t="shared" si="52"/>
        <v>100</v>
      </c>
      <c r="I394" s="349">
        <f t="shared" si="50"/>
        <v>100</v>
      </c>
      <c r="J394" s="351">
        <f t="shared" si="51"/>
        <v>0.004728803139925285</v>
      </c>
    </row>
    <row r="395" spans="1:10" ht="12.75">
      <c r="A395" s="141" t="s">
        <v>37</v>
      </c>
      <c r="B395" s="25"/>
      <c r="C395" s="19">
        <v>412600</v>
      </c>
      <c r="D395" s="35" t="s">
        <v>151</v>
      </c>
      <c r="E395" s="204">
        <v>500</v>
      </c>
      <c r="F395" s="204">
        <v>500</v>
      </c>
      <c r="G395" s="204">
        <v>500</v>
      </c>
      <c r="H395" s="218">
        <f t="shared" si="52"/>
        <v>100</v>
      </c>
      <c r="I395" s="349">
        <f t="shared" si="50"/>
        <v>100</v>
      </c>
      <c r="J395" s="351">
        <f t="shared" si="51"/>
        <v>0.0023644015699626425</v>
      </c>
    </row>
    <row r="396" spans="1:10" ht="12.75" customHeight="1">
      <c r="A396" s="141" t="s">
        <v>37</v>
      </c>
      <c r="B396" s="25"/>
      <c r="C396" s="80">
        <v>412700</v>
      </c>
      <c r="D396" s="80" t="s">
        <v>195</v>
      </c>
      <c r="E396" s="204">
        <v>10000</v>
      </c>
      <c r="F396" s="204">
        <v>8850</v>
      </c>
      <c r="G396" s="204">
        <v>10000</v>
      </c>
      <c r="H396" s="218">
        <f t="shared" si="52"/>
        <v>112.99435028248588</v>
      </c>
      <c r="I396" s="349">
        <f t="shared" si="50"/>
        <v>100</v>
      </c>
      <c r="J396" s="351">
        <f t="shared" si="51"/>
        <v>0.04728803139925285</v>
      </c>
    </row>
    <row r="397" spans="1:10" ht="15" customHeight="1">
      <c r="A397" s="141" t="s">
        <v>37</v>
      </c>
      <c r="B397" s="25"/>
      <c r="C397" s="80">
        <v>412700</v>
      </c>
      <c r="D397" s="32" t="s">
        <v>354</v>
      </c>
      <c r="E397" s="189">
        <v>0</v>
      </c>
      <c r="F397" s="189">
        <v>2600</v>
      </c>
      <c r="G397" s="189">
        <v>0</v>
      </c>
      <c r="H397" s="218">
        <f t="shared" si="52"/>
        <v>0</v>
      </c>
      <c r="I397" s="349">
        <f t="shared" si="50"/>
        <v>0</v>
      </c>
      <c r="J397" s="351">
        <f t="shared" si="51"/>
        <v>0</v>
      </c>
    </row>
    <row r="398" spans="1:10" ht="15" customHeight="1">
      <c r="A398" s="141" t="s">
        <v>37</v>
      </c>
      <c r="B398" s="25"/>
      <c r="C398" s="80">
        <v>412700</v>
      </c>
      <c r="D398" s="96" t="s">
        <v>200</v>
      </c>
      <c r="E398" s="204">
        <v>10000</v>
      </c>
      <c r="F398" s="204">
        <v>10000</v>
      </c>
      <c r="G398" s="189">
        <v>10000</v>
      </c>
      <c r="H398" s="218">
        <f t="shared" si="52"/>
        <v>100</v>
      </c>
      <c r="I398" s="349">
        <f t="shared" si="50"/>
        <v>100</v>
      </c>
      <c r="J398" s="351">
        <f t="shared" si="51"/>
        <v>0.04728803139925285</v>
      </c>
    </row>
    <row r="399" spans="1:10" ht="24.75" customHeight="1">
      <c r="A399" s="141" t="s">
        <v>37</v>
      </c>
      <c r="B399" s="25"/>
      <c r="C399" s="80">
        <v>412700</v>
      </c>
      <c r="D399" s="32" t="s">
        <v>390</v>
      </c>
      <c r="E399" s="204">
        <v>0</v>
      </c>
      <c r="F399" s="204">
        <v>10000</v>
      </c>
      <c r="G399" s="204">
        <v>0</v>
      </c>
      <c r="H399" s="218">
        <f t="shared" si="52"/>
        <v>0</v>
      </c>
      <c r="I399" s="349">
        <f t="shared" si="50"/>
        <v>0</v>
      </c>
      <c r="J399" s="351">
        <f t="shared" si="51"/>
        <v>0</v>
      </c>
    </row>
    <row r="400" spans="1:10" ht="12.75">
      <c r="A400" s="141" t="s">
        <v>37</v>
      </c>
      <c r="B400" s="25"/>
      <c r="C400" s="80">
        <v>412900</v>
      </c>
      <c r="D400" s="96" t="s">
        <v>154</v>
      </c>
      <c r="E400" s="218">
        <v>3500</v>
      </c>
      <c r="F400" s="218">
        <v>3500</v>
      </c>
      <c r="G400" s="218">
        <v>7000</v>
      </c>
      <c r="H400" s="218">
        <f t="shared" si="52"/>
        <v>200</v>
      </c>
      <c r="I400" s="349">
        <f t="shared" si="50"/>
        <v>200</v>
      </c>
      <c r="J400" s="351">
        <f t="shared" si="51"/>
        <v>0.033101621979477</v>
      </c>
    </row>
    <row r="401" spans="1:10" ht="14.25" customHeight="1">
      <c r="A401" s="141"/>
      <c r="B401" s="25">
        <v>511000</v>
      </c>
      <c r="C401" s="35"/>
      <c r="D401" s="34" t="s">
        <v>163</v>
      </c>
      <c r="E401" s="193">
        <f>SUM(E402:E403)</f>
        <v>3000</v>
      </c>
      <c r="F401" s="193">
        <f>SUM(F402:F403)</f>
        <v>2178.67</v>
      </c>
      <c r="G401" s="193">
        <f>SUM(G402:G403)</f>
        <v>6000</v>
      </c>
      <c r="H401" s="193">
        <f t="shared" si="52"/>
        <v>275.3973754630118</v>
      </c>
      <c r="I401" s="192">
        <f t="shared" si="50"/>
        <v>200</v>
      </c>
      <c r="J401" s="347">
        <f t="shared" si="51"/>
        <v>0.028372818839551707</v>
      </c>
    </row>
    <row r="402" spans="1:10" ht="23.25" customHeight="1">
      <c r="A402" s="141" t="s">
        <v>37</v>
      </c>
      <c r="B402" s="35"/>
      <c r="C402" s="19">
        <v>511200</v>
      </c>
      <c r="D402" s="32" t="s">
        <v>174</v>
      </c>
      <c r="E402" s="204">
        <v>1500</v>
      </c>
      <c r="F402" s="204">
        <v>678.67</v>
      </c>
      <c r="G402" s="204">
        <v>2000</v>
      </c>
      <c r="H402" s="218">
        <f t="shared" si="52"/>
        <v>294.6940339192833</v>
      </c>
      <c r="I402" s="349">
        <f t="shared" si="50"/>
        <v>133.33333333333331</v>
      </c>
      <c r="J402" s="351">
        <f t="shared" si="51"/>
        <v>0.00945760627985057</v>
      </c>
    </row>
    <row r="403" spans="1:10" ht="16.5" customHeight="1">
      <c r="A403" s="141" t="s">
        <v>37</v>
      </c>
      <c r="B403" s="35"/>
      <c r="C403" s="19">
        <v>511300</v>
      </c>
      <c r="D403" s="32" t="s">
        <v>2</v>
      </c>
      <c r="E403" s="204">
        <v>1500</v>
      </c>
      <c r="F403" s="204">
        <v>1500</v>
      </c>
      <c r="G403" s="204">
        <v>4000</v>
      </c>
      <c r="H403" s="218">
        <f t="shared" si="52"/>
        <v>266.66666666666663</v>
      </c>
      <c r="I403" s="349">
        <f t="shared" si="50"/>
        <v>266.66666666666663</v>
      </c>
      <c r="J403" s="351">
        <f t="shared" si="51"/>
        <v>0.01891521255970114</v>
      </c>
    </row>
    <row r="404" spans="1:10" ht="24">
      <c r="A404" s="141"/>
      <c r="B404" s="25">
        <v>516000</v>
      </c>
      <c r="C404" s="35"/>
      <c r="D404" s="61" t="s">
        <v>387</v>
      </c>
      <c r="E404" s="193">
        <f>SUM(E405:E405)</f>
        <v>3000</v>
      </c>
      <c r="F404" s="193">
        <f>SUM(F405:F405)</f>
        <v>3000</v>
      </c>
      <c r="G404" s="193">
        <f>SUM(G405:G405)</f>
        <v>4500</v>
      </c>
      <c r="H404" s="193">
        <f t="shared" si="52"/>
        <v>150</v>
      </c>
      <c r="I404" s="192">
        <f t="shared" si="50"/>
        <v>150</v>
      </c>
      <c r="J404" s="347">
        <f t="shared" si="51"/>
        <v>0.021279614129663782</v>
      </c>
    </row>
    <row r="405" spans="1:10" ht="17.25" customHeight="1">
      <c r="A405" s="141" t="s">
        <v>37</v>
      </c>
      <c r="B405" s="25"/>
      <c r="C405" s="35">
        <v>516100</v>
      </c>
      <c r="D405" s="32" t="s">
        <v>192</v>
      </c>
      <c r="E405" s="218">
        <v>3000</v>
      </c>
      <c r="F405" s="218">
        <v>3000</v>
      </c>
      <c r="G405" s="218">
        <v>4500</v>
      </c>
      <c r="H405" s="218">
        <f t="shared" si="52"/>
        <v>150</v>
      </c>
      <c r="I405" s="349">
        <f t="shared" si="50"/>
        <v>150</v>
      </c>
      <c r="J405" s="351">
        <f t="shared" si="51"/>
        <v>0.021279614129663782</v>
      </c>
    </row>
    <row r="406" spans="1:10" ht="13.5" customHeight="1">
      <c r="A406" s="141"/>
      <c r="B406" s="25">
        <v>638000</v>
      </c>
      <c r="C406" s="19"/>
      <c r="D406" s="34" t="s">
        <v>434</v>
      </c>
      <c r="E406" s="67">
        <f>SUM(E407)</f>
        <v>4000</v>
      </c>
      <c r="F406" s="67">
        <f>SUM(F407)</f>
        <v>5971.33</v>
      </c>
      <c r="G406" s="67">
        <f>SUM(G407)</f>
        <v>1000</v>
      </c>
      <c r="H406" s="193">
        <f t="shared" si="52"/>
        <v>16.74668792379587</v>
      </c>
      <c r="I406" s="192">
        <f t="shared" si="50"/>
        <v>25</v>
      </c>
      <c r="J406" s="347">
        <f t="shared" si="51"/>
        <v>0.004728803139925285</v>
      </c>
    </row>
    <row r="407" spans="1:10" ht="38.25" customHeight="1">
      <c r="A407" s="141"/>
      <c r="B407" s="35"/>
      <c r="C407" s="19">
        <v>638100</v>
      </c>
      <c r="D407" s="32" t="s">
        <v>435</v>
      </c>
      <c r="E407" s="204">
        <v>4000</v>
      </c>
      <c r="F407" s="204">
        <v>5971.33</v>
      </c>
      <c r="G407" s="204">
        <v>1000</v>
      </c>
      <c r="H407" s="218">
        <f t="shared" si="52"/>
        <v>16.74668792379587</v>
      </c>
      <c r="I407" s="349">
        <f t="shared" si="50"/>
        <v>25</v>
      </c>
      <c r="J407" s="351">
        <f t="shared" si="51"/>
        <v>0.004728803139925285</v>
      </c>
    </row>
    <row r="408" spans="1:10" ht="24.75" customHeight="1">
      <c r="A408" s="578"/>
      <c r="B408" s="579"/>
      <c r="C408" s="590" t="s">
        <v>96</v>
      </c>
      <c r="D408" s="591"/>
      <c r="E408" s="392">
        <f>E386+E391+E401+E404+E406</f>
        <v>170500</v>
      </c>
      <c r="F408" s="392">
        <f>F386+F391+F401+F404+F406</f>
        <v>200900</v>
      </c>
      <c r="G408" s="392">
        <f>G386+G391+G401+G404+G406</f>
        <v>151000</v>
      </c>
      <c r="H408" s="393">
        <f t="shared" si="52"/>
        <v>75.16177202588352</v>
      </c>
      <c r="I408" s="394">
        <f t="shared" si="50"/>
        <v>88.56304985337243</v>
      </c>
      <c r="J408" s="395">
        <f t="shared" si="51"/>
        <v>0.714049274128718</v>
      </c>
    </row>
    <row r="409" spans="1:10" ht="9.75" customHeight="1">
      <c r="A409" s="578"/>
      <c r="B409" s="579"/>
      <c r="C409" s="584" t="s">
        <v>385</v>
      </c>
      <c r="D409" s="585"/>
      <c r="E409" s="397"/>
      <c r="F409" s="180"/>
      <c r="G409" s="180"/>
      <c r="H409" s="180"/>
      <c r="I409" s="416"/>
      <c r="J409" s="441"/>
    </row>
    <row r="410" spans="1:10" ht="9.75" customHeight="1">
      <c r="A410" s="578"/>
      <c r="B410" s="579"/>
      <c r="C410" s="586"/>
      <c r="D410" s="585"/>
      <c r="E410" s="398"/>
      <c r="F410" s="181"/>
      <c r="G410" s="181"/>
      <c r="H410" s="181"/>
      <c r="I410" s="396"/>
      <c r="J410" s="442"/>
    </row>
    <row r="411" spans="1:10" ht="17.25" customHeight="1">
      <c r="A411" s="578"/>
      <c r="B411" s="579"/>
      <c r="C411" s="586"/>
      <c r="D411" s="585"/>
      <c r="E411" s="399"/>
      <c r="F411" s="182"/>
      <c r="G411" s="182"/>
      <c r="H411" s="182"/>
      <c r="I411" s="400"/>
      <c r="J411" s="443"/>
    </row>
    <row r="412" spans="1:10" ht="14.25" customHeight="1">
      <c r="A412" s="141"/>
      <c r="B412" s="25">
        <v>411000</v>
      </c>
      <c r="C412" s="35"/>
      <c r="D412" s="28" t="s">
        <v>437</v>
      </c>
      <c r="E412" s="406">
        <f>SUM(E413:E416)</f>
        <v>391000</v>
      </c>
      <c r="F412" s="406">
        <f>SUM(F413:F416)</f>
        <v>387735</v>
      </c>
      <c r="G412" s="406">
        <f>SUM(G413:G416)</f>
        <v>456000</v>
      </c>
      <c r="H412" s="415">
        <f>G412/F412*100</f>
        <v>117.60609694765756</v>
      </c>
      <c r="I412" s="407">
        <f aca="true" t="shared" si="53" ref="I412:I434">IF(E412&gt;0,G412/E412*100,0)</f>
        <v>116.62404092071613</v>
      </c>
      <c r="J412" s="417">
        <f aca="true" t="shared" si="54" ref="J412:J434">G412/$G$491*100</f>
        <v>2.15633423180593</v>
      </c>
    </row>
    <row r="413" spans="1:10" ht="12.75">
      <c r="A413" s="141" t="s">
        <v>59</v>
      </c>
      <c r="B413" s="35"/>
      <c r="C413" s="19">
        <v>411100</v>
      </c>
      <c r="D413" s="29" t="s">
        <v>31</v>
      </c>
      <c r="E413" s="204">
        <v>300000</v>
      </c>
      <c r="F413" s="204">
        <v>296635</v>
      </c>
      <c r="G413" s="204">
        <v>355000</v>
      </c>
      <c r="H413" s="218">
        <f aca="true" t="shared" si="55" ref="H413:H434">G413/F413*100</f>
        <v>119.6756957203297</v>
      </c>
      <c r="I413" s="349">
        <f t="shared" si="53"/>
        <v>118.33333333333333</v>
      </c>
      <c r="J413" s="351">
        <f t="shared" si="54"/>
        <v>1.6787251146734763</v>
      </c>
    </row>
    <row r="414" spans="1:10" ht="12.75">
      <c r="A414" s="141" t="s">
        <v>59</v>
      </c>
      <c r="B414" s="35"/>
      <c r="C414" s="19">
        <v>411200</v>
      </c>
      <c r="D414" s="31" t="s">
        <v>144</v>
      </c>
      <c r="E414" s="204">
        <v>85000</v>
      </c>
      <c r="F414" s="204">
        <v>84800</v>
      </c>
      <c r="G414" s="204">
        <v>95000</v>
      </c>
      <c r="H414" s="218">
        <f t="shared" si="55"/>
        <v>112.02830188679245</v>
      </c>
      <c r="I414" s="349">
        <f t="shared" si="53"/>
        <v>111.76470588235294</v>
      </c>
      <c r="J414" s="351">
        <f t="shared" si="54"/>
        <v>0.44923629829290207</v>
      </c>
    </row>
    <row r="415" spans="1:10" ht="13.5" customHeight="1">
      <c r="A415" s="141" t="s">
        <v>59</v>
      </c>
      <c r="B415" s="35"/>
      <c r="C415" s="19">
        <v>411300</v>
      </c>
      <c r="D415" s="29" t="s">
        <v>432</v>
      </c>
      <c r="E415" s="204">
        <v>4000</v>
      </c>
      <c r="F415" s="204">
        <v>4300</v>
      </c>
      <c r="G415" s="204">
        <v>4000</v>
      </c>
      <c r="H415" s="218">
        <f t="shared" si="55"/>
        <v>93.02325581395348</v>
      </c>
      <c r="I415" s="349">
        <f t="shared" si="53"/>
        <v>100</v>
      </c>
      <c r="J415" s="351">
        <f t="shared" si="54"/>
        <v>0.01891521255970114</v>
      </c>
    </row>
    <row r="416" spans="1:10" ht="12.75">
      <c r="A416" s="141" t="s">
        <v>59</v>
      </c>
      <c r="B416" s="35"/>
      <c r="C416" s="19">
        <v>411400</v>
      </c>
      <c r="D416" s="31" t="s">
        <v>433</v>
      </c>
      <c r="E416" s="204">
        <v>2000</v>
      </c>
      <c r="F416" s="204">
        <v>2000</v>
      </c>
      <c r="G416" s="204">
        <v>2000</v>
      </c>
      <c r="H416" s="218">
        <f t="shared" si="55"/>
        <v>100</v>
      </c>
      <c r="I416" s="349">
        <f t="shared" si="53"/>
        <v>100</v>
      </c>
      <c r="J416" s="351">
        <f t="shared" si="54"/>
        <v>0.00945760627985057</v>
      </c>
    </row>
    <row r="417" spans="1:10" ht="14.25" customHeight="1">
      <c r="A417" s="141"/>
      <c r="B417" s="25">
        <v>412000</v>
      </c>
      <c r="C417" s="19"/>
      <c r="D417" s="34" t="s">
        <v>145</v>
      </c>
      <c r="E417" s="193">
        <f>SUM(E418:E426)</f>
        <v>114900</v>
      </c>
      <c r="F417" s="193">
        <f>SUM(F418:F426)</f>
        <v>114611.67</v>
      </c>
      <c r="G417" s="193">
        <f>SUM(G418:G426)</f>
        <v>130900</v>
      </c>
      <c r="H417" s="193">
        <f t="shared" si="55"/>
        <v>114.21175522527504</v>
      </c>
      <c r="I417" s="192">
        <f t="shared" si="53"/>
        <v>113.92515230635337</v>
      </c>
      <c r="J417" s="347">
        <f t="shared" si="54"/>
        <v>0.6190003310162199</v>
      </c>
    </row>
    <row r="418" spans="1:10" ht="24">
      <c r="A418" s="141" t="s">
        <v>59</v>
      </c>
      <c r="B418" s="25"/>
      <c r="C418" s="19">
        <v>412200</v>
      </c>
      <c r="D418" s="32" t="s">
        <v>147</v>
      </c>
      <c r="E418" s="204">
        <v>30000</v>
      </c>
      <c r="F418" s="204">
        <v>32870</v>
      </c>
      <c r="G418" s="204">
        <v>40000</v>
      </c>
      <c r="H418" s="218">
        <f t="shared" si="55"/>
        <v>121.69151201703681</v>
      </c>
      <c r="I418" s="349">
        <f t="shared" si="53"/>
        <v>133.33333333333331</v>
      </c>
      <c r="J418" s="351">
        <f t="shared" si="54"/>
        <v>0.1891521255970114</v>
      </c>
    </row>
    <row r="419" spans="1:10" ht="12.75">
      <c r="A419" s="141" t="s">
        <v>59</v>
      </c>
      <c r="B419" s="25"/>
      <c r="C419" s="19">
        <v>412300</v>
      </c>
      <c r="D419" s="35" t="s">
        <v>148</v>
      </c>
      <c r="E419" s="204">
        <v>7000</v>
      </c>
      <c r="F419" s="204">
        <v>6900</v>
      </c>
      <c r="G419" s="204">
        <v>7500</v>
      </c>
      <c r="H419" s="218">
        <f t="shared" si="55"/>
        <v>108.69565217391303</v>
      </c>
      <c r="I419" s="349">
        <f t="shared" si="53"/>
        <v>107.14285714285714</v>
      </c>
      <c r="J419" s="351">
        <f t="shared" si="54"/>
        <v>0.03546602354943964</v>
      </c>
    </row>
    <row r="420" spans="1:10" ht="12.75">
      <c r="A420" s="141" t="s">
        <v>59</v>
      </c>
      <c r="B420" s="25"/>
      <c r="C420" s="19">
        <v>412400</v>
      </c>
      <c r="D420" s="32" t="s">
        <v>149</v>
      </c>
      <c r="E420" s="204">
        <v>60000</v>
      </c>
      <c r="F420" s="204">
        <v>46972</v>
      </c>
      <c r="G420" s="189">
        <v>65000</v>
      </c>
      <c r="H420" s="218">
        <f t="shared" si="55"/>
        <v>138.38031167504045</v>
      </c>
      <c r="I420" s="349">
        <f t="shared" si="53"/>
        <v>108.33333333333333</v>
      </c>
      <c r="J420" s="351">
        <f t="shared" si="54"/>
        <v>0.3073722040951435</v>
      </c>
    </row>
    <row r="421" spans="1:10" ht="24">
      <c r="A421" s="141" t="s">
        <v>59</v>
      </c>
      <c r="B421" s="25"/>
      <c r="C421" s="19">
        <v>412400</v>
      </c>
      <c r="D421" s="32" t="s">
        <v>554</v>
      </c>
      <c r="E421" s="204">
        <v>0</v>
      </c>
      <c r="F421" s="204">
        <v>2232.5</v>
      </c>
      <c r="G421" s="189">
        <v>0</v>
      </c>
      <c r="H421" s="218">
        <f t="shared" si="55"/>
        <v>0</v>
      </c>
      <c r="I421" s="349">
        <f t="shared" si="53"/>
        <v>0</v>
      </c>
      <c r="J421" s="351">
        <f t="shared" si="54"/>
        <v>0</v>
      </c>
    </row>
    <row r="422" spans="1:10" ht="12.75">
      <c r="A422" s="141" t="s">
        <v>59</v>
      </c>
      <c r="B422" s="25"/>
      <c r="C422" s="19">
        <v>412500</v>
      </c>
      <c r="D422" s="35" t="s">
        <v>150</v>
      </c>
      <c r="E422" s="204">
        <v>4000</v>
      </c>
      <c r="F422" s="204">
        <v>8500</v>
      </c>
      <c r="G422" s="189">
        <v>5000</v>
      </c>
      <c r="H422" s="218">
        <f t="shared" si="55"/>
        <v>58.82352941176471</v>
      </c>
      <c r="I422" s="349">
        <f t="shared" si="53"/>
        <v>125</v>
      </c>
      <c r="J422" s="351">
        <f t="shared" si="54"/>
        <v>0.023644015699626424</v>
      </c>
    </row>
    <row r="423" spans="1:10" ht="12.75">
      <c r="A423" s="141" t="s">
        <v>59</v>
      </c>
      <c r="B423" s="25"/>
      <c r="C423" s="19">
        <v>412600</v>
      </c>
      <c r="D423" s="35" t="s">
        <v>151</v>
      </c>
      <c r="E423" s="204">
        <v>1000</v>
      </c>
      <c r="F423" s="204">
        <v>800</v>
      </c>
      <c r="G423" s="189">
        <v>500</v>
      </c>
      <c r="H423" s="218">
        <f t="shared" si="55"/>
        <v>62.5</v>
      </c>
      <c r="I423" s="349">
        <f t="shared" si="53"/>
        <v>50</v>
      </c>
      <c r="J423" s="351">
        <f t="shared" si="54"/>
        <v>0.0023644015699626425</v>
      </c>
    </row>
    <row r="424" spans="1:10" ht="12.75">
      <c r="A424" s="141" t="s">
        <v>59</v>
      </c>
      <c r="B424" s="25"/>
      <c r="C424" s="80">
        <v>412700</v>
      </c>
      <c r="D424" s="80" t="s">
        <v>152</v>
      </c>
      <c r="E424" s="204">
        <v>1500</v>
      </c>
      <c r="F424" s="204">
        <v>1400</v>
      </c>
      <c r="G424" s="189">
        <v>1500</v>
      </c>
      <c r="H424" s="218">
        <f t="shared" si="55"/>
        <v>107.14285714285714</v>
      </c>
      <c r="I424" s="349">
        <f t="shared" si="53"/>
        <v>100</v>
      </c>
      <c r="J424" s="351">
        <f t="shared" si="54"/>
        <v>0.007093204709887927</v>
      </c>
    </row>
    <row r="425" spans="1:10" ht="12.75">
      <c r="A425" s="141" t="s">
        <v>59</v>
      </c>
      <c r="B425" s="25"/>
      <c r="C425" s="80">
        <v>412900</v>
      </c>
      <c r="D425" s="80" t="s">
        <v>154</v>
      </c>
      <c r="E425" s="204">
        <v>6500</v>
      </c>
      <c r="F425" s="204">
        <v>11100</v>
      </c>
      <c r="G425" s="189">
        <v>6500</v>
      </c>
      <c r="H425" s="218">
        <f t="shared" si="55"/>
        <v>58.55855855855856</v>
      </c>
      <c r="I425" s="349">
        <f t="shared" si="53"/>
        <v>100</v>
      </c>
      <c r="J425" s="351">
        <f t="shared" si="54"/>
        <v>0.03073722040951435</v>
      </c>
    </row>
    <row r="426" spans="1:10" ht="24.75" customHeight="1">
      <c r="A426" s="141" t="s">
        <v>59</v>
      </c>
      <c r="B426" s="25"/>
      <c r="C426" s="80">
        <v>412900</v>
      </c>
      <c r="D426" s="32" t="s">
        <v>469</v>
      </c>
      <c r="E426" s="204">
        <v>4900</v>
      </c>
      <c r="F426" s="204">
        <v>3837.17</v>
      </c>
      <c r="G426" s="204">
        <v>4900</v>
      </c>
      <c r="H426" s="218">
        <f t="shared" si="55"/>
        <v>127.6982776369043</v>
      </c>
      <c r="I426" s="349">
        <f t="shared" si="53"/>
        <v>100</v>
      </c>
      <c r="J426" s="351">
        <f t="shared" si="54"/>
        <v>0.023171135385633895</v>
      </c>
    </row>
    <row r="427" spans="1:10" ht="14.25" customHeight="1">
      <c r="A427" s="141"/>
      <c r="B427" s="35">
        <v>511000</v>
      </c>
      <c r="C427" s="19"/>
      <c r="D427" s="34" t="s">
        <v>163</v>
      </c>
      <c r="E427" s="193">
        <f>SUM(E428)</f>
        <v>5000</v>
      </c>
      <c r="F427" s="193">
        <f>SUM(F428)</f>
        <v>4800</v>
      </c>
      <c r="G427" s="193">
        <f>SUM(G428)</f>
        <v>7000</v>
      </c>
      <c r="H427" s="193">
        <f t="shared" si="55"/>
        <v>145.83333333333331</v>
      </c>
      <c r="I427" s="192">
        <f t="shared" si="53"/>
        <v>140</v>
      </c>
      <c r="J427" s="347">
        <f t="shared" si="54"/>
        <v>0.033101621979477</v>
      </c>
    </row>
    <row r="428" spans="1:10" ht="12" customHeight="1">
      <c r="A428" s="141" t="s">
        <v>59</v>
      </c>
      <c r="B428" s="35"/>
      <c r="C428" s="19">
        <v>511300</v>
      </c>
      <c r="D428" s="35" t="s">
        <v>2</v>
      </c>
      <c r="E428" s="204">
        <v>5000</v>
      </c>
      <c r="F428" s="204">
        <v>4800</v>
      </c>
      <c r="G428" s="189">
        <v>7000</v>
      </c>
      <c r="H428" s="218">
        <f t="shared" si="55"/>
        <v>145.83333333333331</v>
      </c>
      <c r="I428" s="349">
        <f t="shared" si="53"/>
        <v>140</v>
      </c>
      <c r="J428" s="351">
        <f t="shared" si="54"/>
        <v>0.033101621979477</v>
      </c>
    </row>
    <row r="429" spans="1:10" ht="24" customHeight="1">
      <c r="A429" s="141"/>
      <c r="B429" s="35">
        <v>516000</v>
      </c>
      <c r="C429" s="19"/>
      <c r="D429" s="61" t="s">
        <v>387</v>
      </c>
      <c r="E429" s="193">
        <f>SUM(E430)</f>
        <v>2000</v>
      </c>
      <c r="F429" s="193">
        <f>SUM(F430:F431)</f>
        <v>3850</v>
      </c>
      <c r="G429" s="193">
        <f>SUM(G430)</f>
        <v>2000</v>
      </c>
      <c r="H429" s="193">
        <f t="shared" si="55"/>
        <v>51.94805194805194</v>
      </c>
      <c r="I429" s="192">
        <f t="shared" si="53"/>
        <v>100</v>
      </c>
      <c r="J429" s="347">
        <f t="shared" si="54"/>
        <v>0.00945760627985057</v>
      </c>
    </row>
    <row r="430" spans="1:10" ht="12.75">
      <c r="A430" s="141" t="s">
        <v>59</v>
      </c>
      <c r="B430" s="35"/>
      <c r="C430" s="19">
        <v>516100</v>
      </c>
      <c r="D430" s="35" t="s">
        <v>364</v>
      </c>
      <c r="E430" s="204">
        <v>2000</v>
      </c>
      <c r="F430" s="204">
        <v>1350</v>
      </c>
      <c r="G430" s="204">
        <v>2000</v>
      </c>
      <c r="H430" s="218">
        <f t="shared" si="55"/>
        <v>148.14814814814815</v>
      </c>
      <c r="I430" s="349">
        <f t="shared" si="53"/>
        <v>100</v>
      </c>
      <c r="J430" s="351">
        <f t="shared" si="54"/>
        <v>0.00945760627985057</v>
      </c>
    </row>
    <row r="431" spans="1:10" ht="12.75">
      <c r="A431" s="141" t="s">
        <v>59</v>
      </c>
      <c r="B431" s="35"/>
      <c r="C431" s="19">
        <v>516100</v>
      </c>
      <c r="D431" s="35" t="s">
        <v>555</v>
      </c>
      <c r="E431" s="204">
        <v>0</v>
      </c>
      <c r="F431" s="204">
        <v>2500</v>
      </c>
      <c r="G431" s="204">
        <v>0</v>
      </c>
      <c r="H431" s="218"/>
      <c r="I431" s="349">
        <f>IF(E431&gt;0,G431/E431*100,0)</f>
        <v>0</v>
      </c>
      <c r="J431" s="351">
        <f>G431/$G$491*100</f>
        <v>0</v>
      </c>
    </row>
    <row r="432" spans="1:10" ht="12.75" customHeight="1">
      <c r="A432" s="141"/>
      <c r="B432" s="25">
        <v>638000</v>
      </c>
      <c r="C432" s="19"/>
      <c r="D432" s="34" t="s">
        <v>434</v>
      </c>
      <c r="E432" s="67">
        <f>SUM(E433)</f>
        <v>7000</v>
      </c>
      <c r="F432" s="67">
        <f>SUM(F433)</f>
        <v>10715</v>
      </c>
      <c r="G432" s="67">
        <f>SUM(G433)</f>
        <v>7000</v>
      </c>
      <c r="H432" s="193">
        <f t="shared" si="55"/>
        <v>65.32897806812879</v>
      </c>
      <c r="I432" s="192">
        <f t="shared" si="53"/>
        <v>100</v>
      </c>
      <c r="J432" s="347">
        <f t="shared" si="54"/>
        <v>0.033101621979477</v>
      </c>
    </row>
    <row r="433" spans="1:10" ht="37.5" customHeight="1">
      <c r="A433" s="141"/>
      <c r="B433" s="35"/>
      <c r="C433" s="19">
        <v>638100</v>
      </c>
      <c r="D433" s="32" t="s">
        <v>435</v>
      </c>
      <c r="E433" s="204">
        <v>7000</v>
      </c>
      <c r="F433" s="204">
        <v>10715</v>
      </c>
      <c r="G433" s="204">
        <v>7000</v>
      </c>
      <c r="H433" s="218">
        <f t="shared" si="55"/>
        <v>65.32897806812879</v>
      </c>
      <c r="I433" s="349">
        <f t="shared" si="53"/>
        <v>100</v>
      </c>
      <c r="J433" s="351">
        <f t="shared" si="54"/>
        <v>0.033101621979477</v>
      </c>
    </row>
    <row r="434" spans="1:10" ht="25.5" customHeight="1">
      <c r="A434" s="578"/>
      <c r="B434" s="579"/>
      <c r="C434" s="590" t="s">
        <v>97</v>
      </c>
      <c r="D434" s="591"/>
      <c r="E434" s="73">
        <f>E412+E417+E427+E429+E432</f>
        <v>519900</v>
      </c>
      <c r="F434" s="73">
        <f>F412+F417+F427+F429+F432</f>
        <v>521711.67</v>
      </c>
      <c r="G434" s="73">
        <f>G412+G417+G427+G429+G432</f>
        <v>602900</v>
      </c>
      <c r="H434" s="356">
        <f t="shared" si="55"/>
        <v>115.56191564585856</v>
      </c>
      <c r="I434" s="357">
        <f t="shared" si="53"/>
        <v>115.96460857857281</v>
      </c>
      <c r="J434" s="359">
        <f t="shared" si="54"/>
        <v>2.850995413060954</v>
      </c>
    </row>
    <row r="435" spans="1:10" ht="39.75" customHeight="1">
      <c r="A435" s="578"/>
      <c r="B435" s="579"/>
      <c r="C435" s="604" t="s">
        <v>339</v>
      </c>
      <c r="D435" s="605"/>
      <c r="E435" s="183"/>
      <c r="F435" s="183"/>
      <c r="G435" s="183"/>
      <c r="H435" s="183"/>
      <c r="I435" s="250"/>
      <c r="J435" s="348"/>
    </row>
    <row r="436" spans="1:10" ht="14.25" customHeight="1">
      <c r="A436" s="141"/>
      <c r="B436" s="25">
        <v>412000</v>
      </c>
      <c r="C436" s="103"/>
      <c r="D436" s="34" t="s">
        <v>145</v>
      </c>
      <c r="E436" s="193">
        <f>SUM(E437:E441)</f>
        <v>8700</v>
      </c>
      <c r="F436" s="193">
        <f>SUM(F437:F441)</f>
        <v>8569.5</v>
      </c>
      <c r="G436" s="193">
        <f>SUM(G437:G441)</f>
        <v>9000</v>
      </c>
      <c r="H436" s="193">
        <f>G436/F436*100</f>
        <v>105.0236303168213</v>
      </c>
      <c r="I436" s="192">
        <f aca="true" t="shared" si="56" ref="I436:I444">IF(E436&gt;0,G436/E436*100,0)</f>
        <v>103.44827586206897</v>
      </c>
      <c r="J436" s="347">
        <f aca="true" t="shared" si="57" ref="J436:J444">G436/$G$491*100</f>
        <v>0.042559228259327564</v>
      </c>
    </row>
    <row r="437" spans="1:10" ht="24" customHeight="1">
      <c r="A437" s="141" t="s">
        <v>37</v>
      </c>
      <c r="B437" s="35"/>
      <c r="C437" s="157">
        <v>412200</v>
      </c>
      <c r="D437" s="32" t="s">
        <v>147</v>
      </c>
      <c r="E437" s="189">
        <v>3300</v>
      </c>
      <c r="F437" s="189">
        <v>3250</v>
      </c>
      <c r="G437" s="189">
        <v>3400</v>
      </c>
      <c r="H437" s="218">
        <f aca="true" t="shared" si="58" ref="H437:H444">G437/F437*100</f>
        <v>104.61538461538463</v>
      </c>
      <c r="I437" s="349">
        <f t="shared" si="56"/>
        <v>103.03030303030303</v>
      </c>
      <c r="J437" s="351">
        <f t="shared" si="57"/>
        <v>0.016077930675745967</v>
      </c>
    </row>
    <row r="438" spans="1:10" ht="12.75">
      <c r="A438" s="141" t="s">
        <v>37</v>
      </c>
      <c r="B438" s="35"/>
      <c r="C438" s="157">
        <v>412300</v>
      </c>
      <c r="D438" s="35" t="s">
        <v>148</v>
      </c>
      <c r="E438" s="204">
        <v>500</v>
      </c>
      <c r="F438" s="204">
        <v>492.5</v>
      </c>
      <c r="G438" s="204">
        <v>500</v>
      </c>
      <c r="H438" s="218">
        <f t="shared" si="58"/>
        <v>101.5228426395939</v>
      </c>
      <c r="I438" s="349">
        <f t="shared" si="56"/>
        <v>100</v>
      </c>
      <c r="J438" s="351">
        <f t="shared" si="57"/>
        <v>0.0023644015699626425</v>
      </c>
    </row>
    <row r="439" spans="1:10" ht="12.75">
      <c r="A439" s="141" t="s">
        <v>37</v>
      </c>
      <c r="B439" s="35"/>
      <c r="C439" s="157">
        <v>412500</v>
      </c>
      <c r="D439" s="35" t="s">
        <v>150</v>
      </c>
      <c r="E439" s="204">
        <v>1900</v>
      </c>
      <c r="F439" s="204">
        <v>1872</v>
      </c>
      <c r="G439" s="204">
        <v>2000</v>
      </c>
      <c r="H439" s="218">
        <f t="shared" si="58"/>
        <v>106.83760683760684</v>
      </c>
      <c r="I439" s="349">
        <f t="shared" si="56"/>
        <v>105.26315789473684</v>
      </c>
      <c r="J439" s="351">
        <f t="shared" si="57"/>
        <v>0.00945760627985057</v>
      </c>
    </row>
    <row r="440" spans="1:10" ht="12.75">
      <c r="A440" s="141" t="s">
        <v>37</v>
      </c>
      <c r="B440" s="35"/>
      <c r="C440" s="157">
        <v>412700</v>
      </c>
      <c r="D440" s="80" t="s">
        <v>152</v>
      </c>
      <c r="E440" s="204">
        <v>2000</v>
      </c>
      <c r="F440" s="204">
        <v>1970</v>
      </c>
      <c r="G440" s="189">
        <v>2000</v>
      </c>
      <c r="H440" s="218">
        <f t="shared" si="58"/>
        <v>101.5228426395939</v>
      </c>
      <c r="I440" s="349">
        <f t="shared" si="56"/>
        <v>100</v>
      </c>
      <c r="J440" s="351">
        <f t="shared" si="57"/>
        <v>0.00945760627985057</v>
      </c>
    </row>
    <row r="441" spans="1:10" ht="12.75">
      <c r="A441" s="141" t="s">
        <v>37</v>
      </c>
      <c r="B441" s="35"/>
      <c r="C441" s="157">
        <v>412900</v>
      </c>
      <c r="D441" s="80" t="s">
        <v>154</v>
      </c>
      <c r="E441" s="189">
        <v>1000</v>
      </c>
      <c r="F441" s="189">
        <v>985</v>
      </c>
      <c r="G441" s="189">
        <v>1100</v>
      </c>
      <c r="H441" s="218">
        <f t="shared" si="58"/>
        <v>111.6751269035533</v>
      </c>
      <c r="I441" s="349">
        <f t="shared" si="56"/>
        <v>110.00000000000001</v>
      </c>
      <c r="J441" s="351">
        <f t="shared" si="57"/>
        <v>0.005201683453917813</v>
      </c>
    </row>
    <row r="442" spans="1:10" ht="12.75">
      <c r="A442" s="141"/>
      <c r="B442" s="25">
        <v>511000</v>
      </c>
      <c r="C442" s="104"/>
      <c r="D442" s="34" t="s">
        <v>163</v>
      </c>
      <c r="E442" s="193">
        <f>SUM(E443)</f>
        <v>700</v>
      </c>
      <c r="F442" s="193">
        <f>SUM(F443)</f>
        <v>689.5</v>
      </c>
      <c r="G442" s="193">
        <f>SUM(G443)</f>
        <v>800</v>
      </c>
      <c r="H442" s="193">
        <f t="shared" si="58"/>
        <v>116.0261058738216</v>
      </c>
      <c r="I442" s="192">
        <f t="shared" si="56"/>
        <v>114.28571428571428</v>
      </c>
      <c r="J442" s="347">
        <f t="shared" si="57"/>
        <v>0.0037830425119402284</v>
      </c>
    </row>
    <row r="443" spans="1:10" ht="12.75">
      <c r="A443" s="141" t="s">
        <v>37</v>
      </c>
      <c r="B443" s="35"/>
      <c r="C443" s="157">
        <v>511300</v>
      </c>
      <c r="D443" s="35" t="s">
        <v>2</v>
      </c>
      <c r="E443" s="191">
        <v>700</v>
      </c>
      <c r="F443" s="191">
        <v>689.5</v>
      </c>
      <c r="G443" s="191">
        <v>800</v>
      </c>
      <c r="H443" s="218">
        <f t="shared" si="58"/>
        <v>116.0261058738216</v>
      </c>
      <c r="I443" s="349">
        <f t="shared" si="56"/>
        <v>114.28571428571428</v>
      </c>
      <c r="J443" s="351">
        <f t="shared" si="57"/>
        <v>0.0037830425119402284</v>
      </c>
    </row>
    <row r="444" spans="1:10" ht="30" customHeight="1">
      <c r="A444" s="578"/>
      <c r="B444" s="579"/>
      <c r="C444" s="590" t="s">
        <v>340</v>
      </c>
      <c r="D444" s="590"/>
      <c r="E444" s="68">
        <f>E436+E442</f>
        <v>9400</v>
      </c>
      <c r="F444" s="68">
        <f>F436+F442</f>
        <v>9259</v>
      </c>
      <c r="G444" s="68">
        <f>G436+G442</f>
        <v>9800</v>
      </c>
      <c r="H444" s="356">
        <f t="shared" si="58"/>
        <v>105.84296360298089</v>
      </c>
      <c r="I444" s="357">
        <f t="shared" si="56"/>
        <v>104.25531914893618</v>
      </c>
      <c r="J444" s="359">
        <f t="shared" si="57"/>
        <v>0.04634227077126779</v>
      </c>
    </row>
    <row r="445" spans="1:10" ht="19.5" customHeight="1">
      <c r="A445" s="580"/>
      <c r="B445" s="581"/>
      <c r="C445" s="584" t="s">
        <v>304</v>
      </c>
      <c r="D445" s="588"/>
      <c r="E445" s="410"/>
      <c r="F445" s="177"/>
      <c r="G445" s="177"/>
      <c r="H445" s="177"/>
      <c r="I445" s="411"/>
      <c r="J445" s="438"/>
    </row>
    <row r="446" spans="1:10" ht="16.5" customHeight="1">
      <c r="A446" s="580"/>
      <c r="B446" s="581"/>
      <c r="C446" s="589"/>
      <c r="D446" s="588"/>
      <c r="E446" s="413"/>
      <c r="F446" s="179"/>
      <c r="G446" s="179"/>
      <c r="H446" s="179"/>
      <c r="I446" s="414"/>
      <c r="J446" s="440"/>
    </row>
    <row r="447" spans="1:10" ht="14.25" customHeight="1">
      <c r="A447" s="30"/>
      <c r="B447" s="25">
        <v>412000</v>
      </c>
      <c r="C447" s="19"/>
      <c r="D447" s="34" t="s">
        <v>145</v>
      </c>
      <c r="E447" s="415">
        <f>SUM(E448:E449)</f>
        <v>6000</v>
      </c>
      <c r="F447" s="415">
        <f>SUM(F448:F449)</f>
        <v>450</v>
      </c>
      <c r="G447" s="415">
        <f>SUM(G448:G449)</f>
        <v>500</v>
      </c>
      <c r="H447" s="415">
        <f>G447/F447*100</f>
        <v>111.11111111111111</v>
      </c>
      <c r="I447" s="407">
        <f aca="true" t="shared" si="59" ref="I447:I486">IF(E447&gt;0,G447/E447*100,0)</f>
        <v>8.333333333333332</v>
      </c>
      <c r="J447" s="417">
        <f aca="true" t="shared" si="60" ref="J447:J486">G447/$G$491*100</f>
        <v>0.0023644015699626425</v>
      </c>
    </row>
    <row r="448" spans="1:10" ht="12.75">
      <c r="A448" s="141" t="s">
        <v>28</v>
      </c>
      <c r="B448" s="25"/>
      <c r="C448" s="32">
        <v>412900</v>
      </c>
      <c r="D448" s="36" t="s">
        <v>4</v>
      </c>
      <c r="E448" s="204">
        <v>6000</v>
      </c>
      <c r="F448" s="204">
        <v>0</v>
      </c>
      <c r="G448" s="204">
        <v>0</v>
      </c>
      <c r="H448" s="218" t="e">
        <f aca="true" t="shared" si="61" ref="H448:H486">G448/F448*100</f>
        <v>#DIV/0!</v>
      </c>
      <c r="I448" s="349">
        <f t="shared" si="59"/>
        <v>0</v>
      </c>
      <c r="J448" s="351">
        <f t="shared" si="60"/>
        <v>0</v>
      </c>
    </row>
    <row r="449" spans="1:10" ht="38.25" customHeight="1">
      <c r="A449" s="141" t="s">
        <v>28</v>
      </c>
      <c r="B449" s="25"/>
      <c r="C449" s="32">
        <v>412900</v>
      </c>
      <c r="D449" s="36" t="s">
        <v>520</v>
      </c>
      <c r="E449" s="204">
        <v>0</v>
      </c>
      <c r="F449" s="204">
        <v>450</v>
      </c>
      <c r="G449" s="204">
        <v>500</v>
      </c>
      <c r="H449" s="218"/>
      <c r="I449" s="349">
        <f t="shared" si="59"/>
        <v>0</v>
      </c>
      <c r="J449" s="351">
        <f t="shared" si="60"/>
        <v>0.0023644015699626425</v>
      </c>
    </row>
    <row r="450" spans="1:10" ht="13.5" customHeight="1">
      <c r="A450" s="141"/>
      <c r="B450" s="25">
        <v>413000</v>
      </c>
      <c r="C450" s="32"/>
      <c r="D450" s="61" t="s">
        <v>155</v>
      </c>
      <c r="E450" s="193">
        <f>E451+E459+E461</f>
        <v>389500</v>
      </c>
      <c r="F450" s="193">
        <f>F451+F459+F461</f>
        <v>375825</v>
      </c>
      <c r="G450" s="193">
        <f>G451+G459+G461</f>
        <v>290500</v>
      </c>
      <c r="H450" s="193">
        <f t="shared" si="61"/>
        <v>77.29661411561231</v>
      </c>
      <c r="I450" s="192">
        <f t="shared" si="59"/>
        <v>74.58279845956355</v>
      </c>
      <c r="J450" s="347">
        <f t="shared" si="60"/>
        <v>1.3737173121482953</v>
      </c>
    </row>
    <row r="451" spans="1:10" ht="14.25" customHeight="1">
      <c r="A451" s="141"/>
      <c r="B451" s="25"/>
      <c r="C451" s="61"/>
      <c r="D451" s="61" t="s">
        <v>156</v>
      </c>
      <c r="E451" s="270">
        <f>SUM(E452:E457)</f>
        <v>385500</v>
      </c>
      <c r="F451" s="270">
        <f>SUM(F452:F457)</f>
        <v>371825</v>
      </c>
      <c r="G451" s="270">
        <f>SUM(G452:G458)</f>
        <v>250500</v>
      </c>
      <c r="H451" s="353">
        <f t="shared" si="61"/>
        <v>67.37040274322598</v>
      </c>
      <c r="I451" s="354">
        <f t="shared" si="59"/>
        <v>64.98054474708171</v>
      </c>
      <c r="J451" s="352">
        <f t="shared" si="60"/>
        <v>1.1845651865512838</v>
      </c>
    </row>
    <row r="452" spans="1:10" ht="12.75" customHeight="1">
      <c r="A452" s="141" t="s">
        <v>61</v>
      </c>
      <c r="B452" s="35"/>
      <c r="C452" s="39">
        <v>413300</v>
      </c>
      <c r="D452" s="32" t="s">
        <v>134</v>
      </c>
      <c r="E452" s="204">
        <v>22000</v>
      </c>
      <c r="F452" s="204">
        <v>19600</v>
      </c>
      <c r="G452" s="204">
        <v>15500</v>
      </c>
      <c r="H452" s="218">
        <f t="shared" si="61"/>
        <v>79.08163265306123</v>
      </c>
      <c r="I452" s="349">
        <f t="shared" si="59"/>
        <v>70.45454545454545</v>
      </c>
      <c r="J452" s="351">
        <f t="shared" si="60"/>
        <v>0.07329644866884191</v>
      </c>
    </row>
    <row r="453" spans="1:10" ht="12.75" customHeight="1">
      <c r="A453" s="141" t="s">
        <v>61</v>
      </c>
      <c r="B453" s="35"/>
      <c r="C453" s="39">
        <v>413300</v>
      </c>
      <c r="D453" s="32" t="s">
        <v>135</v>
      </c>
      <c r="E453" s="204">
        <v>136000</v>
      </c>
      <c r="F453" s="204">
        <v>131800</v>
      </c>
      <c r="G453" s="189">
        <v>0</v>
      </c>
      <c r="H453" s="218">
        <f t="shared" si="61"/>
        <v>0</v>
      </c>
      <c r="I453" s="349">
        <f t="shared" si="59"/>
        <v>0</v>
      </c>
      <c r="J453" s="351">
        <f t="shared" si="60"/>
        <v>0</v>
      </c>
    </row>
    <row r="454" spans="1:10" ht="12.75" customHeight="1">
      <c r="A454" s="141" t="s">
        <v>61</v>
      </c>
      <c r="B454" s="35"/>
      <c r="C454" s="39">
        <v>413300</v>
      </c>
      <c r="D454" s="32" t="s">
        <v>137</v>
      </c>
      <c r="E454" s="204">
        <v>71000</v>
      </c>
      <c r="F454" s="204">
        <v>70450</v>
      </c>
      <c r="G454" s="189">
        <v>0</v>
      </c>
      <c r="H454" s="218">
        <f t="shared" si="61"/>
        <v>0</v>
      </c>
      <c r="I454" s="349">
        <f t="shared" si="59"/>
        <v>0</v>
      </c>
      <c r="J454" s="351">
        <f t="shared" si="60"/>
        <v>0</v>
      </c>
    </row>
    <row r="455" spans="1:10" ht="12.75" customHeight="1">
      <c r="A455" s="141" t="s">
        <v>61</v>
      </c>
      <c r="B455" s="35"/>
      <c r="C455" s="39">
        <v>413300</v>
      </c>
      <c r="D455" s="32" t="s">
        <v>136</v>
      </c>
      <c r="E455" s="204">
        <v>13500</v>
      </c>
      <c r="F455" s="204">
        <v>12725</v>
      </c>
      <c r="G455" s="189">
        <v>0</v>
      </c>
      <c r="H455" s="218">
        <f t="shared" si="61"/>
        <v>0</v>
      </c>
      <c r="I455" s="349">
        <f t="shared" si="59"/>
        <v>0</v>
      </c>
      <c r="J455" s="351">
        <f t="shared" si="60"/>
        <v>0</v>
      </c>
    </row>
    <row r="456" spans="1:10" ht="12.75" customHeight="1">
      <c r="A456" s="141" t="s">
        <v>61</v>
      </c>
      <c r="B456" s="35"/>
      <c r="C456" s="39">
        <v>413300</v>
      </c>
      <c r="D456" s="32" t="s">
        <v>285</v>
      </c>
      <c r="E456" s="204">
        <v>130000</v>
      </c>
      <c r="F456" s="204">
        <v>124500</v>
      </c>
      <c r="G456" s="189">
        <v>0</v>
      </c>
      <c r="H456" s="218">
        <f t="shared" si="61"/>
        <v>0</v>
      </c>
      <c r="I456" s="349">
        <f t="shared" si="59"/>
        <v>0</v>
      </c>
      <c r="J456" s="351">
        <f t="shared" si="60"/>
        <v>0</v>
      </c>
    </row>
    <row r="457" spans="1:10" ht="12.75" customHeight="1">
      <c r="A457" s="141" t="s">
        <v>61</v>
      </c>
      <c r="B457" s="35"/>
      <c r="C457" s="39">
        <v>413300</v>
      </c>
      <c r="D457" s="32" t="s">
        <v>404</v>
      </c>
      <c r="E457" s="204">
        <v>13000</v>
      </c>
      <c r="F457" s="204">
        <v>12750</v>
      </c>
      <c r="G457" s="189">
        <v>0</v>
      </c>
      <c r="H457" s="218">
        <f t="shared" si="61"/>
        <v>0</v>
      </c>
      <c r="I457" s="349">
        <f t="shared" si="59"/>
        <v>0</v>
      </c>
      <c r="J457" s="351">
        <f t="shared" si="60"/>
        <v>0</v>
      </c>
    </row>
    <row r="458" spans="1:10" ht="12.75" customHeight="1">
      <c r="A458" s="141" t="s">
        <v>61</v>
      </c>
      <c r="B458" s="35"/>
      <c r="C458" s="39">
        <v>413300</v>
      </c>
      <c r="D458" s="32" t="s">
        <v>522</v>
      </c>
      <c r="E458" s="204">
        <v>0</v>
      </c>
      <c r="F458" s="204">
        <v>0</v>
      </c>
      <c r="G458" s="189">
        <v>235000</v>
      </c>
      <c r="H458" s="218" t="e">
        <f t="shared" si="61"/>
        <v>#DIV/0!</v>
      </c>
      <c r="I458" s="349">
        <f t="shared" si="59"/>
        <v>0</v>
      </c>
      <c r="J458" s="351">
        <f t="shared" si="60"/>
        <v>1.111268737882442</v>
      </c>
    </row>
    <row r="459" spans="1:10" ht="14.25" customHeight="1">
      <c r="A459" s="141"/>
      <c r="B459" s="25"/>
      <c r="C459" s="37"/>
      <c r="D459" s="34" t="s">
        <v>157</v>
      </c>
      <c r="E459" s="270">
        <f>E460</f>
        <v>4000</v>
      </c>
      <c r="F459" s="270">
        <f>F460</f>
        <v>4000</v>
      </c>
      <c r="G459" s="270">
        <f>G460</f>
        <v>4000</v>
      </c>
      <c r="H459" s="353">
        <f t="shared" si="61"/>
        <v>100</v>
      </c>
      <c r="I459" s="354">
        <f t="shared" si="59"/>
        <v>100</v>
      </c>
      <c r="J459" s="352">
        <f t="shared" si="60"/>
        <v>0.01891521255970114</v>
      </c>
    </row>
    <row r="460" spans="1:10" ht="12.75">
      <c r="A460" s="141" t="s">
        <v>61</v>
      </c>
      <c r="B460" s="35"/>
      <c r="C460" s="19">
        <v>413400</v>
      </c>
      <c r="D460" s="32" t="s">
        <v>250</v>
      </c>
      <c r="E460" s="204">
        <v>4000</v>
      </c>
      <c r="F460" s="204">
        <v>4000</v>
      </c>
      <c r="G460" s="204">
        <v>4000</v>
      </c>
      <c r="H460" s="218">
        <f t="shared" si="61"/>
        <v>100</v>
      </c>
      <c r="I460" s="349">
        <f t="shared" si="59"/>
        <v>100</v>
      </c>
      <c r="J460" s="351">
        <f t="shared" si="60"/>
        <v>0.01891521255970114</v>
      </c>
    </row>
    <row r="461" spans="1:10" ht="18" customHeight="1">
      <c r="A461" s="141"/>
      <c r="B461" s="35"/>
      <c r="C461" s="19"/>
      <c r="D461" s="61" t="s">
        <v>392</v>
      </c>
      <c r="E461" s="270">
        <f>SUM(E462:E463)</f>
        <v>0</v>
      </c>
      <c r="F461" s="270">
        <f>SUM(F462:F463)</f>
        <v>0</v>
      </c>
      <c r="G461" s="270">
        <f>SUM(G462:G463)</f>
        <v>36000</v>
      </c>
      <c r="H461" s="193" t="e">
        <f t="shared" si="61"/>
        <v>#DIV/0!</v>
      </c>
      <c r="I461" s="354">
        <f t="shared" si="59"/>
        <v>0</v>
      </c>
      <c r="J461" s="352">
        <f t="shared" si="60"/>
        <v>0.17023691303731026</v>
      </c>
    </row>
    <row r="462" spans="1:10" ht="13.5" customHeight="1">
      <c r="A462" s="141" t="s">
        <v>61</v>
      </c>
      <c r="B462" s="35"/>
      <c r="C462" s="19">
        <v>413700</v>
      </c>
      <c r="D462" s="32" t="s">
        <v>519</v>
      </c>
      <c r="E462" s="204">
        <v>0</v>
      </c>
      <c r="F462" s="204">
        <v>0</v>
      </c>
      <c r="G462" s="189">
        <v>15000</v>
      </c>
      <c r="H462" s="193" t="e">
        <f t="shared" si="61"/>
        <v>#DIV/0!</v>
      </c>
      <c r="I462" s="476">
        <f t="shared" si="59"/>
        <v>0</v>
      </c>
      <c r="J462" s="351">
        <f t="shared" si="60"/>
        <v>0.07093204709887928</v>
      </c>
    </row>
    <row r="463" spans="1:10" ht="24.75" customHeight="1">
      <c r="A463" s="141" t="s">
        <v>61</v>
      </c>
      <c r="B463" s="35"/>
      <c r="C463" s="19">
        <v>413700</v>
      </c>
      <c r="D463" s="32" t="s">
        <v>518</v>
      </c>
      <c r="E463" s="204">
        <v>0</v>
      </c>
      <c r="F463" s="204">
        <v>0</v>
      </c>
      <c r="G463" s="189">
        <v>21000</v>
      </c>
      <c r="H463" s="193" t="e">
        <f t="shared" si="61"/>
        <v>#DIV/0!</v>
      </c>
      <c r="I463" s="476">
        <f t="shared" si="59"/>
        <v>0</v>
      </c>
      <c r="J463" s="351">
        <f t="shared" si="60"/>
        <v>0.09930486593843098</v>
      </c>
    </row>
    <row r="464" spans="1:10" ht="37.5" customHeight="1">
      <c r="A464" s="141"/>
      <c r="B464" s="25">
        <v>487000</v>
      </c>
      <c r="C464" s="19"/>
      <c r="D464" s="48" t="s">
        <v>521</v>
      </c>
      <c r="E464" s="193">
        <f>SUM(E465:E467)</f>
        <v>0</v>
      </c>
      <c r="F464" s="193">
        <f>SUM(F465:F467)</f>
        <v>4500</v>
      </c>
      <c r="G464" s="193">
        <f>SUM(G465:G467)</f>
        <v>9500</v>
      </c>
      <c r="H464" s="193">
        <f>G464/F464*100</f>
        <v>211.11111111111111</v>
      </c>
      <c r="I464" s="192">
        <f t="shared" si="59"/>
        <v>0</v>
      </c>
      <c r="J464" s="347">
        <f t="shared" si="60"/>
        <v>0.04492362982929021</v>
      </c>
    </row>
    <row r="465" spans="1:10" ht="12.75">
      <c r="A465" s="141" t="s">
        <v>28</v>
      </c>
      <c r="B465" s="35"/>
      <c r="C465" s="19">
        <v>487200</v>
      </c>
      <c r="D465" s="32" t="s">
        <v>489</v>
      </c>
      <c r="E465" s="204">
        <v>0</v>
      </c>
      <c r="F465" s="204">
        <v>2000</v>
      </c>
      <c r="G465" s="204">
        <v>7000</v>
      </c>
      <c r="H465" s="350">
        <f>G465/F465*100</f>
        <v>350</v>
      </c>
      <c r="I465" s="370">
        <f t="shared" si="59"/>
        <v>0</v>
      </c>
      <c r="J465" s="351">
        <f t="shared" si="60"/>
        <v>0.033101621979477</v>
      </c>
    </row>
    <row r="466" spans="1:10" ht="12.75">
      <c r="A466" s="141" t="s">
        <v>28</v>
      </c>
      <c r="B466" s="35"/>
      <c r="C466" s="19">
        <v>487300</v>
      </c>
      <c r="D466" s="32" t="s">
        <v>483</v>
      </c>
      <c r="E466" s="204">
        <v>0</v>
      </c>
      <c r="F466" s="204">
        <v>2000</v>
      </c>
      <c r="G466" s="204">
        <v>500</v>
      </c>
      <c r="H466" s="350">
        <f>G466/F466*100</f>
        <v>25</v>
      </c>
      <c r="I466" s="370">
        <f t="shared" si="59"/>
        <v>0</v>
      </c>
      <c r="J466" s="351">
        <f t="shared" si="60"/>
        <v>0.0023644015699626425</v>
      </c>
    </row>
    <row r="467" spans="1:10" ht="12.75">
      <c r="A467" s="141" t="s">
        <v>28</v>
      </c>
      <c r="B467" s="35"/>
      <c r="C467" s="19">
        <v>487400</v>
      </c>
      <c r="D467" s="32" t="s">
        <v>440</v>
      </c>
      <c r="E467" s="204">
        <v>0</v>
      </c>
      <c r="F467" s="204">
        <v>500</v>
      </c>
      <c r="G467" s="204">
        <v>2000</v>
      </c>
      <c r="H467" s="350">
        <f>G467/F467*100</f>
        <v>400</v>
      </c>
      <c r="I467" s="370">
        <f t="shared" si="59"/>
        <v>0</v>
      </c>
      <c r="J467" s="351">
        <f t="shared" si="60"/>
        <v>0.00945760627985057</v>
      </c>
    </row>
    <row r="468" spans="1:10" ht="13.5" customHeight="1">
      <c r="A468" s="141"/>
      <c r="B468" s="66">
        <v>621000</v>
      </c>
      <c r="C468" s="19"/>
      <c r="D468" s="34" t="s">
        <v>167</v>
      </c>
      <c r="E468" s="67">
        <f>E469+E477+E479+0</f>
        <v>656500</v>
      </c>
      <c r="F468" s="67">
        <f>F469+F477+F479+0</f>
        <v>627425</v>
      </c>
      <c r="G468" s="67">
        <f>G469+G477+G479+0</f>
        <v>6881727.9799999995</v>
      </c>
      <c r="H468" s="193">
        <f t="shared" si="61"/>
        <v>1096.8208120492488</v>
      </c>
      <c r="I468" s="192">
        <f t="shared" si="59"/>
        <v>1048.2449322162986</v>
      </c>
      <c r="J468" s="347">
        <f t="shared" si="60"/>
        <v>32.54233687993568</v>
      </c>
    </row>
    <row r="469" spans="1:10" ht="15" customHeight="1">
      <c r="A469" s="141"/>
      <c r="B469" s="66"/>
      <c r="C469" s="19"/>
      <c r="D469" s="34" t="s">
        <v>175</v>
      </c>
      <c r="E469" s="378">
        <f>SUM(E470:E476)</f>
        <v>631500</v>
      </c>
      <c r="F469" s="378">
        <f>SUM(F470:F476)</f>
        <v>627425</v>
      </c>
      <c r="G469" s="378">
        <f>SUM(G470:G476)</f>
        <v>6768227.9799999995</v>
      </c>
      <c r="H469" s="378">
        <f t="shared" si="61"/>
        <v>1078.73100051799</v>
      </c>
      <c r="I469" s="379">
        <f t="shared" si="59"/>
        <v>1071.7700680918447</v>
      </c>
      <c r="J469" s="448">
        <f t="shared" si="60"/>
        <v>32.00561772355417</v>
      </c>
    </row>
    <row r="470" spans="1:10" ht="14.25" customHeight="1">
      <c r="A470" s="141"/>
      <c r="B470" s="66"/>
      <c r="C470" s="19">
        <v>621300</v>
      </c>
      <c r="D470" s="32" t="s">
        <v>484</v>
      </c>
      <c r="E470" s="218">
        <v>0</v>
      </c>
      <c r="F470" s="218">
        <v>0</v>
      </c>
      <c r="G470" s="218">
        <v>565000</v>
      </c>
      <c r="H470" s="218" t="e">
        <f t="shared" si="61"/>
        <v>#DIV/0!</v>
      </c>
      <c r="I470" s="349">
        <f t="shared" si="59"/>
        <v>0</v>
      </c>
      <c r="J470" s="351">
        <f t="shared" si="60"/>
        <v>2.6717737740577863</v>
      </c>
    </row>
    <row r="471" spans="1:10" ht="14.25" customHeight="1">
      <c r="A471" s="141"/>
      <c r="B471" s="66"/>
      <c r="C471" s="19">
        <v>621300</v>
      </c>
      <c r="D471" s="32" t="s">
        <v>485</v>
      </c>
      <c r="E471" s="218">
        <v>0</v>
      </c>
      <c r="F471" s="218">
        <v>0</v>
      </c>
      <c r="G471" s="289">
        <v>2041235.09</v>
      </c>
      <c r="H471" s="218" t="e">
        <f t="shared" si="61"/>
        <v>#DIV/0!</v>
      </c>
      <c r="I471" s="349">
        <f t="shared" si="59"/>
        <v>0</v>
      </c>
      <c r="J471" s="351">
        <f t="shared" si="60"/>
        <v>9.652598902917672</v>
      </c>
    </row>
    <row r="472" spans="1:10" ht="12.75">
      <c r="A472" s="141"/>
      <c r="B472" s="35"/>
      <c r="C472" s="40">
        <v>621300</v>
      </c>
      <c r="D472" s="36" t="s">
        <v>138</v>
      </c>
      <c r="E472" s="204">
        <v>334500</v>
      </c>
      <c r="F472" s="204">
        <v>334225</v>
      </c>
      <c r="G472" s="189">
        <v>1117978.76</v>
      </c>
      <c r="H472" s="218">
        <f t="shared" si="61"/>
        <v>334.4988435933877</v>
      </c>
      <c r="I472" s="349">
        <f t="shared" si="59"/>
        <v>334.22384454409564</v>
      </c>
      <c r="J472" s="351">
        <f t="shared" si="60"/>
        <v>5.286701470657777</v>
      </c>
    </row>
    <row r="473" spans="1:10" ht="12.75">
      <c r="A473" s="141"/>
      <c r="B473" s="35"/>
      <c r="C473" s="40">
        <v>621300</v>
      </c>
      <c r="D473" s="36" t="s">
        <v>139</v>
      </c>
      <c r="E473" s="204">
        <v>57000</v>
      </c>
      <c r="F473" s="204">
        <v>56850</v>
      </c>
      <c r="G473" s="189">
        <v>191209.11</v>
      </c>
      <c r="H473" s="218">
        <f t="shared" si="61"/>
        <v>336.3396833773087</v>
      </c>
      <c r="I473" s="349">
        <f t="shared" si="59"/>
        <v>335.4545789473684</v>
      </c>
      <c r="J473" s="351">
        <f t="shared" si="60"/>
        <v>0.9041902397503191</v>
      </c>
    </row>
    <row r="474" spans="1:10" ht="12.75">
      <c r="A474" s="141"/>
      <c r="B474" s="78"/>
      <c r="C474" s="40">
        <v>621300</v>
      </c>
      <c r="D474" s="36" t="s">
        <v>286</v>
      </c>
      <c r="E474" s="204">
        <v>215000</v>
      </c>
      <c r="F474" s="204">
        <v>211600</v>
      </c>
      <c r="G474" s="189">
        <v>1907339.98</v>
      </c>
      <c r="H474" s="218">
        <f t="shared" si="61"/>
        <v>901.389404536862</v>
      </c>
      <c r="I474" s="349">
        <f t="shared" si="59"/>
        <v>887.1348744186047</v>
      </c>
      <c r="J474" s="351">
        <f t="shared" si="60"/>
        <v>9.019435286329031</v>
      </c>
    </row>
    <row r="475" spans="1:10" ht="15" customHeight="1">
      <c r="A475" s="141"/>
      <c r="B475" s="78"/>
      <c r="C475" s="40">
        <v>621300</v>
      </c>
      <c r="D475" s="36" t="s">
        <v>405</v>
      </c>
      <c r="E475" s="204">
        <v>25000</v>
      </c>
      <c r="F475" s="204">
        <v>24750</v>
      </c>
      <c r="G475" s="189">
        <v>275465.04</v>
      </c>
      <c r="H475" s="218">
        <f t="shared" si="61"/>
        <v>1112.9900606060605</v>
      </c>
      <c r="I475" s="349">
        <f t="shared" si="59"/>
        <v>1101.86016</v>
      </c>
      <c r="J475" s="351">
        <f t="shared" si="60"/>
        <v>1.302619946091644</v>
      </c>
    </row>
    <row r="476" spans="1:10" ht="15" customHeight="1">
      <c r="A476" s="141"/>
      <c r="B476" s="78"/>
      <c r="C476" s="40">
        <v>621300</v>
      </c>
      <c r="D476" s="36" t="s">
        <v>523</v>
      </c>
      <c r="E476" s="189">
        <v>0</v>
      </c>
      <c r="F476" s="189">
        <v>0</v>
      </c>
      <c r="G476" s="189">
        <v>670000</v>
      </c>
      <c r="H476" s="218" t="e">
        <f t="shared" si="61"/>
        <v>#DIV/0!</v>
      </c>
      <c r="I476" s="349">
        <f t="shared" si="59"/>
        <v>0</v>
      </c>
      <c r="J476" s="351">
        <f t="shared" si="60"/>
        <v>3.168298103749941</v>
      </c>
    </row>
    <row r="477" spans="1:10" ht="15" customHeight="1">
      <c r="A477" s="141"/>
      <c r="B477" s="78"/>
      <c r="C477" s="40"/>
      <c r="D477" s="48" t="s">
        <v>486</v>
      </c>
      <c r="E477" s="253">
        <f>E478</f>
        <v>0</v>
      </c>
      <c r="F477" s="253">
        <f>F478</f>
        <v>0</v>
      </c>
      <c r="G477" s="253">
        <f>G478</f>
        <v>88500</v>
      </c>
      <c r="H477" s="353" t="e">
        <f t="shared" si="61"/>
        <v>#DIV/0!</v>
      </c>
      <c r="I477" s="354">
        <f t="shared" si="59"/>
        <v>0</v>
      </c>
      <c r="J477" s="352">
        <f t="shared" si="60"/>
        <v>0.4184990778833877</v>
      </c>
    </row>
    <row r="478" spans="1:10" ht="12.75">
      <c r="A478" s="141"/>
      <c r="B478" s="78"/>
      <c r="C478" s="40">
        <v>621400</v>
      </c>
      <c r="D478" s="36" t="s">
        <v>487</v>
      </c>
      <c r="E478" s="189">
        <v>0</v>
      </c>
      <c r="F478" s="189">
        <v>0</v>
      </c>
      <c r="G478" s="189">
        <v>88500</v>
      </c>
      <c r="H478" s="218" t="e">
        <f t="shared" si="61"/>
        <v>#DIV/0!</v>
      </c>
      <c r="I478" s="349">
        <f t="shared" si="59"/>
        <v>0</v>
      </c>
      <c r="J478" s="351">
        <f t="shared" si="60"/>
        <v>0.4184990778833877</v>
      </c>
    </row>
    <row r="479" spans="1:10" ht="12.75">
      <c r="A479" s="141"/>
      <c r="B479" s="78"/>
      <c r="C479" s="40"/>
      <c r="D479" s="48" t="s">
        <v>380</v>
      </c>
      <c r="E479" s="253">
        <f>E480</f>
        <v>25000</v>
      </c>
      <c r="F479" s="253">
        <f>F480</f>
        <v>0</v>
      </c>
      <c r="G479" s="253">
        <f>G480</f>
        <v>25000</v>
      </c>
      <c r="H479" s="378" t="e">
        <f t="shared" si="61"/>
        <v>#DIV/0!</v>
      </c>
      <c r="I479" s="379">
        <f t="shared" si="59"/>
        <v>100</v>
      </c>
      <c r="J479" s="448">
        <f t="shared" si="60"/>
        <v>0.11822007849813213</v>
      </c>
    </row>
    <row r="480" spans="1:10" ht="12.75">
      <c r="A480" s="141"/>
      <c r="B480" s="78"/>
      <c r="C480" s="40">
        <v>621900</v>
      </c>
      <c r="D480" s="36" t="s">
        <v>402</v>
      </c>
      <c r="E480" s="189">
        <v>25000</v>
      </c>
      <c r="F480" s="189">
        <v>0</v>
      </c>
      <c r="G480" s="189">
        <v>25000</v>
      </c>
      <c r="H480" s="218" t="e">
        <f t="shared" si="61"/>
        <v>#DIV/0!</v>
      </c>
      <c r="I480" s="349">
        <f t="shared" si="59"/>
        <v>100</v>
      </c>
      <c r="J480" s="351">
        <f t="shared" si="60"/>
        <v>0.11822007849813213</v>
      </c>
    </row>
    <row r="481" spans="1:10" ht="12.75">
      <c r="A481" s="141"/>
      <c r="B481" s="66">
        <v>631000</v>
      </c>
      <c r="C481" s="40"/>
      <c r="D481" s="34" t="s">
        <v>427</v>
      </c>
      <c r="E481" s="67">
        <f>SUM(E482:E483)</f>
        <v>517000</v>
      </c>
      <c r="F481" s="67">
        <f>SUM(F482:F483)</f>
        <v>527000</v>
      </c>
      <c r="G481" s="67">
        <f>SUM(G482:G483)</f>
        <v>3000</v>
      </c>
      <c r="H481" s="193">
        <f t="shared" si="61"/>
        <v>0.5692599620493358</v>
      </c>
      <c r="I481" s="192">
        <f t="shared" si="59"/>
        <v>0.5802707930367506</v>
      </c>
      <c r="J481" s="347">
        <f t="shared" si="60"/>
        <v>0.014186409419775853</v>
      </c>
    </row>
    <row r="482" spans="1:10" ht="24">
      <c r="A482" s="141"/>
      <c r="B482" s="66"/>
      <c r="C482" s="40">
        <v>631900</v>
      </c>
      <c r="D482" s="32" t="s">
        <v>508</v>
      </c>
      <c r="E482" s="218">
        <v>0</v>
      </c>
      <c r="F482" s="218">
        <v>10000</v>
      </c>
      <c r="G482" s="218">
        <v>3000</v>
      </c>
      <c r="H482" s="218">
        <f t="shared" si="61"/>
        <v>30</v>
      </c>
      <c r="I482" s="349">
        <f t="shared" si="59"/>
        <v>0</v>
      </c>
      <c r="J482" s="351">
        <f t="shared" si="60"/>
        <v>0.014186409419775853</v>
      </c>
    </row>
    <row r="483" spans="1:10" ht="12.75">
      <c r="A483" s="141"/>
      <c r="B483" s="78"/>
      <c r="C483" s="40">
        <v>631900</v>
      </c>
      <c r="D483" s="36" t="s">
        <v>378</v>
      </c>
      <c r="E483" s="189">
        <v>517000</v>
      </c>
      <c r="F483" s="189">
        <v>517000</v>
      </c>
      <c r="G483" s="189">
        <v>0</v>
      </c>
      <c r="H483" s="218">
        <f t="shared" si="61"/>
        <v>0</v>
      </c>
      <c r="I483" s="349">
        <f t="shared" si="59"/>
        <v>0</v>
      </c>
      <c r="J483" s="351">
        <f t="shared" si="60"/>
        <v>0</v>
      </c>
    </row>
    <row r="484" spans="1:10" ht="17.25" customHeight="1">
      <c r="A484" s="141"/>
      <c r="B484" s="78">
        <v>638000</v>
      </c>
      <c r="C484" s="40"/>
      <c r="D484" s="48" t="s">
        <v>488</v>
      </c>
      <c r="E484" s="67">
        <f>E485</f>
        <v>0</v>
      </c>
      <c r="F484" s="67">
        <f>F485</f>
        <v>1500</v>
      </c>
      <c r="G484" s="67">
        <f>G485</f>
        <v>1000</v>
      </c>
      <c r="H484" s="193">
        <f t="shared" si="61"/>
        <v>66.66666666666666</v>
      </c>
      <c r="I484" s="192">
        <f t="shared" si="59"/>
        <v>0</v>
      </c>
      <c r="J484" s="347">
        <f t="shared" si="60"/>
        <v>0.004728803139925285</v>
      </c>
    </row>
    <row r="485" spans="1:10" ht="24.75" customHeight="1">
      <c r="A485" s="141"/>
      <c r="B485" s="78"/>
      <c r="C485" s="40">
        <v>638100</v>
      </c>
      <c r="D485" s="36" t="s">
        <v>507</v>
      </c>
      <c r="E485" s="189">
        <v>0</v>
      </c>
      <c r="F485" s="189">
        <v>1500</v>
      </c>
      <c r="G485" s="189">
        <v>1000</v>
      </c>
      <c r="H485" s="218">
        <f t="shared" si="61"/>
        <v>66.66666666666666</v>
      </c>
      <c r="I485" s="349">
        <f t="shared" si="59"/>
        <v>0</v>
      </c>
      <c r="J485" s="351">
        <f t="shared" si="60"/>
        <v>0.004728803139925285</v>
      </c>
    </row>
    <row r="486" spans="1:10" ht="27.75" customHeight="1">
      <c r="A486" s="610"/>
      <c r="B486" s="611"/>
      <c r="C486" s="590" t="s">
        <v>241</v>
      </c>
      <c r="D486" s="590"/>
      <c r="E486" s="392">
        <f>E447+E450+E464+E468+E481+E484</f>
        <v>1569000</v>
      </c>
      <c r="F486" s="392">
        <f>F447+F450+F464+F468+F481+F484</f>
        <v>1536700</v>
      </c>
      <c r="G486" s="392">
        <f>G447+G450+G464+G468+G481+G484</f>
        <v>7186227.9799999995</v>
      </c>
      <c r="H486" s="393">
        <f t="shared" si="61"/>
        <v>467.6402668054923</v>
      </c>
      <c r="I486" s="394">
        <f t="shared" si="59"/>
        <v>458.0132555768005</v>
      </c>
      <c r="J486" s="395">
        <f t="shared" si="60"/>
        <v>33.982257436042936</v>
      </c>
    </row>
    <row r="487" spans="1:10" ht="19.5" customHeight="1">
      <c r="A487" s="578"/>
      <c r="B487" s="579"/>
      <c r="C487" s="584" t="s">
        <v>204</v>
      </c>
      <c r="D487" s="588"/>
      <c r="E487" s="424"/>
      <c r="F487" s="184"/>
      <c r="G487" s="184"/>
      <c r="H487" s="184"/>
      <c r="I487" s="184"/>
      <c r="J487" s="449"/>
    </row>
    <row r="488" spans="1:10" ht="8.25" customHeight="1">
      <c r="A488" s="578"/>
      <c r="B488" s="579"/>
      <c r="C488" s="589"/>
      <c r="D488" s="588"/>
      <c r="E488" s="425"/>
      <c r="F488" s="185"/>
      <c r="G488" s="185"/>
      <c r="H488" s="185"/>
      <c r="I488" s="185"/>
      <c r="J488" s="450"/>
    </row>
    <row r="489" spans="1:10" ht="12.75" customHeight="1">
      <c r="A489" s="578"/>
      <c r="B489" s="579"/>
      <c r="C489" s="108" t="s">
        <v>222</v>
      </c>
      <c r="D489" s="88" t="s">
        <v>105</v>
      </c>
      <c r="E489" s="420">
        <v>160000</v>
      </c>
      <c r="F489" s="420">
        <v>26660.5</v>
      </c>
      <c r="G489" s="421">
        <v>160000</v>
      </c>
      <c r="H489" s="420">
        <f>G489/F489*100</f>
        <v>600.138782093359</v>
      </c>
      <c r="I489" s="422">
        <f>G489/E489*100</f>
        <v>100</v>
      </c>
      <c r="J489" s="423">
        <f>G489/$G$491*100</f>
        <v>0.7566085023880456</v>
      </c>
    </row>
    <row r="490" spans="1:10" ht="25.5" customHeight="1">
      <c r="A490" s="578"/>
      <c r="B490" s="579"/>
      <c r="C490" s="590" t="s">
        <v>205</v>
      </c>
      <c r="D490" s="591"/>
      <c r="E490" s="73">
        <f>E489</f>
        <v>160000</v>
      </c>
      <c r="F490" s="360">
        <f>F489</f>
        <v>26660.5</v>
      </c>
      <c r="G490" s="73">
        <f>G489</f>
        <v>160000</v>
      </c>
      <c r="H490" s="364">
        <f>G490/F490*100</f>
        <v>600.138782093359</v>
      </c>
      <c r="I490" s="357">
        <f>G490/E490*100</f>
        <v>100</v>
      </c>
      <c r="J490" s="359">
        <f>G490/$G$491*100</f>
        <v>0.7566085023880456</v>
      </c>
    </row>
    <row r="491" spans="1:12" s="10" customFormat="1" ht="24" customHeight="1" thickBot="1">
      <c r="A491" s="608" t="s">
        <v>232</v>
      </c>
      <c r="B491" s="609"/>
      <c r="C491" s="606" t="s">
        <v>242</v>
      </c>
      <c r="D491" s="607"/>
      <c r="E491" s="75">
        <f>E20+E47+E75+E92+E142+E151+E192+E227+E237+E262+E281+E333+E351+E372+E408+E434+E300+E444+E486+E490+E59</f>
        <v>13787500</v>
      </c>
      <c r="F491" s="75">
        <f>F20+F47+F75+F92+F142+F151+F192+F227+F237+F262+F281+F333+F351+F372+F408+F434+F300+F444+F486+F490+F59</f>
        <v>13813000</v>
      </c>
      <c r="G491" s="75">
        <f>G20+G47++G59+G75+G92+G142+G151+G192+G227+G237+G262+G281++G300+G333+G351+G372+G383+G408+G434+G444+G486+G490</f>
        <v>21147000</v>
      </c>
      <c r="H491" s="361">
        <f>G491/F491*100</f>
        <v>153.0949105914718</v>
      </c>
      <c r="I491" s="362">
        <f>G491/E491*100</f>
        <v>153.3780598368087</v>
      </c>
      <c r="J491" s="363">
        <f>G491/$G$491*100</f>
        <v>100</v>
      </c>
      <c r="K491" s="463"/>
      <c r="L491" s="475"/>
    </row>
    <row r="492" spans="1:12" s="10" customFormat="1" ht="24" customHeight="1" thickTop="1">
      <c r="A492" s="272"/>
      <c r="B492" s="272"/>
      <c r="C492" s="280"/>
      <c r="D492" s="280"/>
      <c r="E492" s="281"/>
      <c r="F492" s="281"/>
      <c r="G492" s="281"/>
      <c r="H492" s="281"/>
      <c r="I492" s="282"/>
      <c r="J492" s="282"/>
      <c r="K492" s="463"/>
      <c r="L492" s="467"/>
    </row>
    <row r="493" spans="4:12" ht="12.75">
      <c r="D493" s="215"/>
      <c r="E493" s="76">
        <f>E491-'B.pr. i prim. za nef. im.'!D97</f>
        <v>13787500</v>
      </c>
      <c r="F493" s="76"/>
      <c r="G493" s="76"/>
      <c r="H493" s="76"/>
      <c r="J493" s="242"/>
      <c r="L493" s="281"/>
    </row>
    <row r="494" spans="4:10" ht="12.75">
      <c r="D494" s="215"/>
      <c r="E494" s="76"/>
      <c r="F494" s="76"/>
      <c r="G494" s="76"/>
      <c r="H494" s="76"/>
      <c r="J494" s="242"/>
    </row>
    <row r="495" spans="1:10" ht="12.75">
      <c r="A495" s="619"/>
      <c r="B495" s="619"/>
      <c r="C495" s="619"/>
      <c r="D495" s="619"/>
      <c r="E495" s="287"/>
      <c r="F495" s="287"/>
      <c r="G495" s="287"/>
      <c r="H495" s="287"/>
      <c r="I495" s="241"/>
      <c r="J495" s="242"/>
    </row>
    <row r="496" spans="1:10" ht="12.75">
      <c r="A496" s="239"/>
      <c r="B496" s="62"/>
      <c r="C496" s="62"/>
      <c r="D496" s="243"/>
      <c r="E496" s="240"/>
      <c r="F496" s="240"/>
      <c r="G496" s="240"/>
      <c r="H496" s="240"/>
      <c r="I496" s="241"/>
      <c r="J496" s="242"/>
    </row>
    <row r="497" spans="1:10" ht="12.75">
      <c r="A497" s="239"/>
      <c r="B497" s="62"/>
      <c r="C497" s="62"/>
      <c r="D497" s="243"/>
      <c r="E497" s="291"/>
      <c r="F497" s="291"/>
      <c r="G497" s="291"/>
      <c r="H497" s="291"/>
      <c r="I497" s="241"/>
      <c r="J497" s="242"/>
    </row>
    <row r="498" spans="1:10" ht="12.75">
      <c r="A498" s="239"/>
      <c r="B498" s="62"/>
      <c r="C498" s="62"/>
      <c r="D498" s="243"/>
      <c r="E498" s="240"/>
      <c r="F498" s="240"/>
      <c r="G498" s="240"/>
      <c r="H498" s="240"/>
      <c r="I498" s="241"/>
      <c r="J498" s="242"/>
    </row>
    <row r="499" spans="1:10" ht="12.75">
      <c r="A499" s="254"/>
      <c r="B499" s="255"/>
      <c r="C499" s="255"/>
      <c r="D499" s="254"/>
      <c r="E499" s="255"/>
      <c r="F499" s="255"/>
      <c r="G499" s="255"/>
      <c r="H499" s="255"/>
      <c r="I499" s="255"/>
      <c r="J499" s="255"/>
    </row>
    <row r="500" spans="1:12" s="12" customFormat="1" ht="15.75" customHeight="1">
      <c r="A500" s="52"/>
      <c r="B500" s="52"/>
      <c r="C500" s="52"/>
      <c r="D500" s="256"/>
      <c r="E500" s="244"/>
      <c r="F500" s="244"/>
      <c r="G500" s="244"/>
      <c r="H500" s="244"/>
      <c r="I500" s="245"/>
      <c r="J500" s="245"/>
      <c r="K500" s="464"/>
      <c r="L500" s="472"/>
    </row>
    <row r="501" spans="1:12" s="12" customFormat="1" ht="12.75">
      <c r="A501" s="246"/>
      <c r="B501" s="245"/>
      <c r="C501" s="245"/>
      <c r="D501" s="256"/>
      <c r="E501" s="247"/>
      <c r="F501" s="247"/>
      <c r="G501" s="247"/>
      <c r="H501" s="247"/>
      <c r="I501" s="245"/>
      <c r="J501" s="245"/>
      <c r="K501" s="464"/>
      <c r="L501" s="472"/>
    </row>
    <row r="502" spans="1:10" ht="12.75">
      <c r="A502" s="239"/>
      <c r="B502" s="62"/>
      <c r="C502" s="62"/>
      <c r="D502" s="243"/>
      <c r="E502" s="247"/>
      <c r="F502" s="247"/>
      <c r="G502" s="247"/>
      <c r="H502" s="247"/>
      <c r="I502" s="241"/>
      <c r="J502" s="62"/>
    </row>
    <row r="503" spans="1:10" ht="23.25" customHeight="1">
      <c r="A503" s="239"/>
      <c r="B503" s="62"/>
      <c r="C503" s="62"/>
      <c r="D503" s="243"/>
      <c r="E503" s="247"/>
      <c r="F503" s="247"/>
      <c r="G503" s="247"/>
      <c r="H503" s="247"/>
      <c r="I503" s="241"/>
      <c r="J503" s="62"/>
    </row>
    <row r="504" spans="1:10" ht="12.75">
      <c r="A504" s="239"/>
      <c r="B504" s="62"/>
      <c r="C504" s="62"/>
      <c r="D504" s="242"/>
      <c r="E504" s="248"/>
      <c r="F504" s="248"/>
      <c r="G504" s="248"/>
      <c r="H504" s="248"/>
      <c r="I504" s="241"/>
      <c r="J504" s="62"/>
    </row>
    <row r="505" spans="1:10" ht="2.25" customHeight="1">
      <c r="A505" s="239"/>
      <c r="B505" s="62"/>
      <c r="C505" s="62"/>
      <c r="D505" s="62"/>
      <c r="E505" s="249"/>
      <c r="F505" s="249"/>
      <c r="G505" s="249"/>
      <c r="H505" s="249"/>
      <c r="I505" s="241"/>
      <c r="J505" s="62"/>
    </row>
    <row r="506" ht="12.75">
      <c r="D506" s="3"/>
    </row>
    <row r="507" ht="12.75">
      <c r="D507" s="215"/>
    </row>
    <row r="508" ht="12.75">
      <c r="D508" s="215"/>
    </row>
    <row r="509" spans="1:9" ht="12.75">
      <c r="A509" s="6"/>
      <c r="I509" s="6"/>
    </row>
    <row r="510" spans="1:9" ht="12.75">
      <c r="A510" s="6"/>
      <c r="D510" s="215"/>
      <c r="I510" s="6"/>
    </row>
    <row r="511" spans="1:9" ht="12.75">
      <c r="A511" s="6"/>
      <c r="I511" s="6"/>
    </row>
    <row r="512" spans="1:9" ht="12.75">
      <c r="A512" s="6"/>
      <c r="I512" s="6"/>
    </row>
    <row r="513" spans="1:9" ht="2.25" customHeight="1">
      <c r="A513" s="6"/>
      <c r="I513" s="6"/>
    </row>
    <row r="514" spans="1:9" ht="12.75" hidden="1">
      <c r="A514" s="6"/>
      <c r="I514" s="6"/>
    </row>
    <row r="515" spans="1:9" ht="12.75" hidden="1">
      <c r="A515" s="6"/>
      <c r="I515" s="6"/>
    </row>
    <row r="516" ht="12.75" hidden="1"/>
    <row r="517" ht="10.5" customHeight="1" hidden="1"/>
    <row r="518" ht="12.75" hidden="1"/>
    <row r="519" ht="12.75" hidden="1"/>
    <row r="520" ht="12.75" hidden="1"/>
    <row r="527" spans="1:12" s="14" customFormat="1" ht="15.75" customHeight="1">
      <c r="A527" s="9"/>
      <c r="E527" s="60"/>
      <c r="F527" s="60"/>
      <c r="G527" s="60"/>
      <c r="H527" s="60"/>
      <c r="J527" s="54"/>
      <c r="K527" s="465"/>
      <c r="L527" s="473"/>
    </row>
    <row r="537" spans="1:12" s="14" customFormat="1" ht="15.75" customHeight="1">
      <c r="A537" s="9"/>
      <c r="E537" s="60"/>
      <c r="F537" s="60"/>
      <c r="G537" s="60"/>
      <c r="H537" s="60"/>
      <c r="J537" s="54"/>
      <c r="K537" s="465"/>
      <c r="L537" s="473"/>
    </row>
    <row r="540" spans="1:12" s="14" customFormat="1" ht="15.75" customHeight="1">
      <c r="A540" s="9"/>
      <c r="E540" s="60"/>
      <c r="F540" s="60"/>
      <c r="G540" s="60"/>
      <c r="H540" s="60"/>
      <c r="J540" s="54"/>
      <c r="K540" s="465"/>
      <c r="L540" s="473"/>
    </row>
    <row r="545" ht="15.75" customHeight="1">
      <c r="A545" s="6"/>
    </row>
    <row r="546" spans="1:3" ht="12.75">
      <c r="A546" s="6"/>
      <c r="C546" s="13"/>
    </row>
    <row r="547" spans="1:3" ht="12.75">
      <c r="A547" s="6"/>
      <c r="C547" s="13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spans="1:4" ht="12.75">
      <c r="A562" s="6"/>
      <c r="D562" s="8"/>
    </row>
    <row r="563" spans="1:8" ht="12.75">
      <c r="A563" s="6"/>
      <c r="D563" s="15"/>
      <c r="E563" s="59"/>
      <c r="F563" s="59"/>
      <c r="G563" s="59"/>
      <c r="H563" s="59"/>
    </row>
    <row r="564" spans="1:8" ht="12.75">
      <c r="A564" s="6"/>
      <c r="D564" s="15"/>
      <c r="E564" s="59"/>
      <c r="F564" s="59"/>
      <c r="G564" s="59"/>
      <c r="H564" s="59"/>
    </row>
    <row r="565" spans="1:4" ht="12.75">
      <c r="A565" s="6"/>
      <c r="D565" s="8"/>
    </row>
    <row r="566" spans="1:4" ht="12.75">
      <c r="A566" s="6"/>
      <c r="D566" s="8"/>
    </row>
    <row r="567" spans="1:4" ht="12.75">
      <c r="A567" s="6"/>
      <c r="D567" s="8"/>
    </row>
    <row r="568" spans="1:4" ht="12.75">
      <c r="A568" s="6"/>
      <c r="D568" s="8"/>
    </row>
    <row r="569" spans="1:4" ht="12.75">
      <c r="A569" s="6"/>
      <c r="D569" s="8"/>
    </row>
    <row r="570" spans="1:4" ht="12.75">
      <c r="A570" s="6"/>
      <c r="D570" s="8"/>
    </row>
    <row r="571" spans="1:4" ht="12.75">
      <c r="A571" s="6"/>
      <c r="D571" s="8"/>
    </row>
    <row r="572" spans="1:4" ht="12.75">
      <c r="A572" s="6"/>
      <c r="D572" s="8"/>
    </row>
    <row r="573" spans="1:4" ht="12.75">
      <c r="A573" s="6"/>
      <c r="D573" s="8"/>
    </row>
    <row r="574" spans="1:4" ht="12.75">
      <c r="A574" s="6"/>
      <c r="D574" s="8"/>
    </row>
    <row r="575" spans="1:4" ht="12.75">
      <c r="A575" s="6"/>
      <c r="D575" s="8"/>
    </row>
    <row r="576" spans="1:4" ht="12.75">
      <c r="A576" s="6"/>
      <c r="D576" s="8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spans="1:8" ht="12.75">
      <c r="A583" s="6"/>
      <c r="E583" s="59"/>
      <c r="F583" s="59"/>
      <c r="G583" s="59"/>
      <c r="H583" s="59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spans="1:8" ht="12.75">
      <c r="A593" s="6"/>
      <c r="E593" s="59"/>
      <c r="F593" s="59"/>
      <c r="G593" s="59"/>
      <c r="H593" s="59"/>
    </row>
    <row r="594" ht="12.75">
      <c r="A594" s="6"/>
    </row>
    <row r="595" ht="12.75">
      <c r="A595" s="6"/>
    </row>
    <row r="596" ht="12.75">
      <c r="A596" s="6"/>
    </row>
  </sheetData>
  <sheetProtection/>
  <mergeCells count="103">
    <mergeCell ref="C193:D196"/>
    <mergeCell ref="F2:F3"/>
    <mergeCell ref="H2:H3"/>
    <mergeCell ref="C21:D23"/>
    <mergeCell ref="C142:D142"/>
    <mergeCell ref="A495:D495"/>
    <mergeCell ref="C334:D336"/>
    <mergeCell ref="C192:D192"/>
    <mergeCell ref="A238:B240"/>
    <mergeCell ref="C300:D300"/>
    <mergeCell ref="C143:D145"/>
    <mergeCell ref="A5:B7"/>
    <mergeCell ref="C75:D75"/>
    <mergeCell ref="A20:B20"/>
    <mergeCell ref="C237:D237"/>
    <mergeCell ref="A47:B47"/>
    <mergeCell ref="A227:B227"/>
    <mergeCell ref="A237:B237"/>
    <mergeCell ref="C227:D227"/>
    <mergeCell ref="C228:D230"/>
    <mergeCell ref="A48:B50"/>
    <mergeCell ref="A193:B196"/>
    <mergeCell ref="C238:D240"/>
    <mergeCell ref="A21:B23"/>
    <mergeCell ref="C47:D47"/>
    <mergeCell ref="C60:D62"/>
    <mergeCell ref="A75:B75"/>
    <mergeCell ref="A93:B96"/>
    <mergeCell ref="C151:D151"/>
    <mergeCell ref="C76:D78"/>
    <mergeCell ref="A1:J1"/>
    <mergeCell ref="A2:A3"/>
    <mergeCell ref="B2:C2"/>
    <mergeCell ref="D2:D3"/>
    <mergeCell ref="J2:J3"/>
    <mergeCell ref="I2:I3"/>
    <mergeCell ref="E2:E3"/>
    <mergeCell ref="A263:B264"/>
    <mergeCell ref="A334:B336"/>
    <mergeCell ref="C282:D284"/>
    <mergeCell ref="C5:D7"/>
    <mergeCell ref="C20:D20"/>
    <mergeCell ref="C152:D155"/>
    <mergeCell ref="A152:B155"/>
    <mergeCell ref="A228:B230"/>
    <mergeCell ref="C92:D92"/>
    <mergeCell ref="C93:D96"/>
    <mergeCell ref="A301:B303"/>
    <mergeCell ref="C490:D490"/>
    <mergeCell ref="C487:D488"/>
    <mergeCell ref="A490:B490"/>
    <mergeCell ref="A487:B488"/>
    <mergeCell ref="A445:B446"/>
    <mergeCell ref="A333:B333"/>
    <mergeCell ref="C333:D333"/>
    <mergeCell ref="A489:B489"/>
    <mergeCell ref="C491:D491"/>
    <mergeCell ref="A491:B491"/>
    <mergeCell ref="A281:B281"/>
    <mergeCell ref="C262:D262"/>
    <mergeCell ref="A351:B351"/>
    <mergeCell ref="C351:D351"/>
    <mergeCell ref="C301:D303"/>
    <mergeCell ref="A486:B486"/>
    <mergeCell ref="C444:D444"/>
    <mergeCell ref="A444:B444"/>
    <mergeCell ref="A282:B284"/>
    <mergeCell ref="A434:B434"/>
    <mergeCell ref="C409:D411"/>
    <mergeCell ref="C281:D281"/>
    <mergeCell ref="C486:D486"/>
    <mergeCell ref="C408:D408"/>
    <mergeCell ref="C445:D446"/>
    <mergeCell ref="A372:B372"/>
    <mergeCell ref="C435:D435"/>
    <mergeCell ref="A435:B435"/>
    <mergeCell ref="E373:J374"/>
    <mergeCell ref="C383:D383"/>
    <mergeCell ref="A383:B383"/>
    <mergeCell ref="B373:B374"/>
    <mergeCell ref="C384:D385"/>
    <mergeCell ref="A373:A374"/>
    <mergeCell ref="C373:D374"/>
    <mergeCell ref="C59:D59"/>
    <mergeCell ref="A142:B142"/>
    <mergeCell ref="A92:B92"/>
    <mergeCell ref="C434:D434"/>
    <mergeCell ref="A408:B408"/>
    <mergeCell ref="A384:B385"/>
    <mergeCell ref="A300:B300"/>
    <mergeCell ref="C372:D372"/>
    <mergeCell ref="A409:B411"/>
    <mergeCell ref="C263:D264"/>
    <mergeCell ref="A192:B192"/>
    <mergeCell ref="A262:B262"/>
    <mergeCell ref="A352:B353"/>
    <mergeCell ref="G2:G3"/>
    <mergeCell ref="A143:B145"/>
    <mergeCell ref="A60:B62"/>
    <mergeCell ref="A76:B78"/>
    <mergeCell ref="A151:B151"/>
    <mergeCell ref="C352:D353"/>
    <mergeCell ref="C48:D50"/>
  </mergeCells>
  <printOptions horizontalCentered="1"/>
  <pageMargins left="0.15748031496063" right="0.15748031496063" top="0.354330708661417" bottom="0.433070866141732" header="0.31496062992126" footer="0.236220472440945"/>
  <pageSetup fitToHeight="12" horizontalDpi="600" verticalDpi="600" orientation="landscape" paperSize="9" scale="105" r:id="rId1"/>
  <headerFooter alignWithMargins="0">
    <oddFooter>&amp;R&amp;P</oddFooter>
  </headerFooter>
  <rowBreaks count="21" manualBreakCount="21">
    <brk id="35" max="11" man="1"/>
    <brk id="59" max="13" man="1"/>
    <brk id="88" max="13" man="1"/>
    <brk id="115" max="11" man="1"/>
    <brk id="140" max="11" man="1"/>
    <brk id="162" max="13" man="1"/>
    <brk id="183" max="11" man="1"/>
    <brk id="206" max="11" man="1"/>
    <brk id="227" max="13" man="1"/>
    <brk id="254" max="13" man="1"/>
    <brk id="275" max="13" man="1"/>
    <brk id="300" max="13" man="1"/>
    <brk id="328" max="13" man="1"/>
    <brk id="351" max="13" man="1"/>
    <brk id="376" max="13" man="1"/>
    <brk id="400" max="11" man="1"/>
    <brk id="424" max="11" man="1"/>
    <brk id="444" max="11" man="1"/>
    <brk id="468" max="11" man="1"/>
    <brk id="491" max="13" man="1"/>
    <brk id="49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C29" sqref="C29"/>
    </sheetView>
  </sheetViews>
  <sheetFormatPr defaultColWidth="9.140625" defaultRowHeight="12.75"/>
  <cols>
    <col min="1" max="1" width="7.28125" style="0" customWidth="1"/>
    <col min="2" max="2" width="48.00390625" style="0" customWidth="1"/>
    <col min="3" max="3" width="16.7109375" style="0" customWidth="1"/>
    <col min="4" max="5" width="16.57421875" style="0" customWidth="1"/>
    <col min="6" max="6" width="7.421875" style="0" hidden="1" customWidth="1"/>
    <col min="7" max="7" width="10.00390625" style="0" customWidth="1"/>
    <col min="8" max="8" width="11.00390625" style="0" customWidth="1"/>
    <col min="9" max="10" width="13.7109375" style="0" customWidth="1"/>
    <col min="11" max="11" width="14.140625" style="0" customWidth="1"/>
    <col min="12" max="12" width="13.7109375" style="0" customWidth="1"/>
    <col min="13" max="13" width="13.8515625" style="0" customWidth="1"/>
    <col min="14" max="14" width="14.7109375" style="0" customWidth="1"/>
  </cols>
  <sheetData>
    <row r="1" spans="1:8" ht="43.5" customHeight="1">
      <c r="A1" s="620" t="s">
        <v>481</v>
      </c>
      <c r="B1" s="621"/>
      <c r="C1" s="621"/>
      <c r="D1" s="621"/>
      <c r="E1" s="621"/>
      <c r="F1" s="621"/>
      <c r="G1" s="621"/>
      <c r="H1" s="621"/>
    </row>
    <row r="2" spans="1:8" ht="16.5" customHeight="1" thickBot="1">
      <c r="A2" s="622" t="s">
        <v>559</v>
      </c>
      <c r="B2" s="623"/>
      <c r="C2" s="529"/>
      <c r="D2" s="529"/>
      <c r="E2" s="529"/>
      <c r="F2" s="529"/>
      <c r="G2" s="529"/>
      <c r="H2" s="529"/>
    </row>
    <row r="3" spans="1:8" ht="82.5" customHeight="1" thickTop="1">
      <c r="A3" s="132" t="s">
        <v>251</v>
      </c>
      <c r="B3" s="115" t="s">
        <v>252</v>
      </c>
      <c r="C3" s="140" t="s">
        <v>548</v>
      </c>
      <c r="D3" s="140" t="s">
        <v>547</v>
      </c>
      <c r="E3" s="140" t="s">
        <v>529</v>
      </c>
      <c r="F3" s="140" t="s">
        <v>120</v>
      </c>
      <c r="G3" s="142" t="s">
        <v>120</v>
      </c>
      <c r="H3" s="143" t="s">
        <v>133</v>
      </c>
    </row>
    <row r="4" spans="1:8" ht="15" customHeight="1">
      <c r="A4" s="152">
        <v>1</v>
      </c>
      <c r="B4" s="27">
        <v>2</v>
      </c>
      <c r="C4" s="194" t="s">
        <v>131</v>
      </c>
      <c r="D4" s="194" t="s">
        <v>399</v>
      </c>
      <c r="E4" s="194" t="s">
        <v>352</v>
      </c>
      <c r="F4" s="194" t="s">
        <v>398</v>
      </c>
      <c r="G4" s="194" t="s">
        <v>502</v>
      </c>
      <c r="H4" s="153">
        <v>7</v>
      </c>
    </row>
    <row r="5" spans="1:10" ht="14.25">
      <c r="A5" s="133" t="s">
        <v>65</v>
      </c>
      <c r="B5" s="134" t="s">
        <v>74</v>
      </c>
      <c r="C5" s="195">
        <f>SUM(SUMIF(Org!$A$8:Org!$A$489," 0111",Org!E$8:Org!E$489),SUMIF(Org!$A$10:Org!$A$489," 0160",Org!E$10:Org!E$490),SUMIF(Org!$A$10:Org!$A$489," 0180",Org!E$10:Org!E$490),SUMIF(Org!$A$10:Org!$A$489,"0170 ",Org!E$10:Org!E$489))-'B.pr. i prim. za nef. im.'!D84-'B.pr. i prim. za nef. im.'!D86</f>
        <v>4850500</v>
      </c>
      <c r="D5" s="195">
        <f>SUM(SUMIF(Org!$A$8:Org!$A$489," 0111",Org!F$8:Org!F$489),SUMIF(Org!$A$10:Org!$A$489," 0160",Org!F$10:Org!F$490),SUMIF(Org!$A$10:Org!$A$489," 0180",Org!F$10:Org!F$490),SUMIF(Org!$A$10:Org!$A$489,"0170 ",Org!F$10:Org!F$489))-'B.pr. i prim. za nef. im.'!E84-'B.pr. i prim. za nef. im.'!E86</f>
        <v>4864520.81</v>
      </c>
      <c r="E5" s="195">
        <f>SUM(SUMIF(Org!$A$8:Org!$A$489," 0111",Org!G$8:Org!G$489),SUMIF(Org!$A$10:Org!$A$489," 0160",Org!G$10:Org!G$490),SUMIF(Org!$A$10:Org!$A$489," 0180",Org!G$10:Org!G$490),SUMIF(Org!$A$10:Org!$A$489,"0170 ",Org!G$10:Org!G$489))-'B.pr. i prim. za nef. im.'!F84-'B.pr. i prim. za nef. im.'!F86</f>
        <v>4522500</v>
      </c>
      <c r="F5" s="195">
        <f>E5/D5*100</f>
        <v>92.96907499507645</v>
      </c>
      <c r="G5" s="195">
        <f>IF(C5&gt;0,E5/C5*100,0)</f>
        <v>93.23781053499638</v>
      </c>
      <c r="H5" s="135">
        <f>E5/$E$15*100</f>
        <v>32.4909233291929</v>
      </c>
      <c r="J5" s="1"/>
    </row>
    <row r="6" spans="1:10" ht="14.25">
      <c r="A6" s="133" t="s">
        <v>66</v>
      </c>
      <c r="B6" s="136" t="s">
        <v>75</v>
      </c>
      <c r="C6" s="195">
        <f>SUM(SUMIF(Org!$A$10:Org!$A$490,"02",Org!E$10:Org!E$490))</f>
        <v>0</v>
      </c>
      <c r="D6" s="195">
        <f>SUM(SUMIF(Org!$A$10:Org!$A$490,"02",Org!F$10:Org!F$490))</f>
        <v>0</v>
      </c>
      <c r="E6" s="195">
        <f>SUM(SUMIF(Org!$A$10:Org!$A$490,"02",Org!G$10:Org!G$490))</f>
        <v>0</v>
      </c>
      <c r="F6" s="195" t="e">
        <f aca="true" t="shared" si="0" ref="F6:F14">E6/D6*100</f>
        <v>#DIV/0!</v>
      </c>
      <c r="G6" s="195">
        <f aca="true" t="shared" si="1" ref="G6:G14">IF(C6&gt;0,E6/C6*100,0)</f>
        <v>0</v>
      </c>
      <c r="H6" s="135">
        <f aca="true" t="shared" si="2" ref="H6:H15">E6/$E$15*100</f>
        <v>0</v>
      </c>
      <c r="J6" s="1"/>
    </row>
    <row r="7" spans="1:10" ht="14.25">
      <c r="A7" s="133" t="s">
        <v>67</v>
      </c>
      <c r="B7" s="134" t="s">
        <v>76</v>
      </c>
      <c r="C7" s="195">
        <f>SUM(SUMIF(Org!$A$10:Org!$A$489," 0320",Org!E$10:Org!E$490))</f>
        <v>262900</v>
      </c>
      <c r="D7" s="195">
        <f>SUM(SUMIF(Org!$A$10:Org!$A$489," 0320",Org!F$10:Org!F$490))</f>
        <v>194676.5</v>
      </c>
      <c r="E7" s="195">
        <f>SUM(SUMIF(Org!$A$10:Org!$A$489," 0320",Org!G$10:Org!G$490))</f>
        <v>280400</v>
      </c>
      <c r="F7" s="195">
        <f t="shared" si="0"/>
        <v>144.03382020942433</v>
      </c>
      <c r="G7" s="195">
        <f t="shared" si="1"/>
        <v>106.65652339292507</v>
      </c>
      <c r="H7" s="135">
        <f t="shared" si="2"/>
        <v>2.0144731678287875</v>
      </c>
      <c r="J7" s="1"/>
    </row>
    <row r="8" spans="1:10" ht="14.25">
      <c r="A8" s="133" t="s">
        <v>68</v>
      </c>
      <c r="B8" s="137" t="s">
        <v>77</v>
      </c>
      <c r="C8" s="195">
        <f>SUM(SUMIF(Org!$A$10:Org!$A$489," 0421",Org!E$10:Org!E$489),SUMIF(Org!$A$10:Org!$A$489," 0422",Org!E$10:Org!E$489),SUMIF(Org!$A$10:Org!$A$489," 0442",Org!E$10:Org!E$489),SUMIF(Org!$A$10:Org!$A$489," 0451",Org!E$10:Org!E$490),SUMIF(Org!$A$10:Org!$A$489," 0473",Org!E$10:Org!E$490),SUMIF(Org!$A$10:Org!$A$489,"0474 ",Org!E$10:Org!E$489),SUMIF(Org!$A$10:Org!$A$489,"0490 ",Org!E$10:Org!E$489))</f>
        <v>1004000</v>
      </c>
      <c r="D8" s="195">
        <f>SUM(SUMIF(Org!$A$10:Org!$A$489," 0421",Org!F$10:Org!F$489),SUMIF(Org!$A$10:Org!$A$489," 0422",Org!F$10:Org!F$489),SUMIF(Org!$A$10:Org!$A$489," 0442",Org!F$10:Org!F$489),SUMIF(Org!$A$10:Org!$A$489," 0451",Org!F$10:Org!F$490),SUMIF(Org!$A$10:Org!$A$489," 0473",Org!F$10:Org!F$490),SUMIF(Org!$A$10:Org!$A$489,"0474 ",Org!F$10:Org!F$489),SUMIF(Org!$A$10:Org!$A$489,"0490 ",Org!F$10:Org!F$489))</f>
        <v>948649.01</v>
      </c>
      <c r="E8" s="195">
        <f>SUM(SUMIF(Org!$A$10:Org!$A$489," 0421",Org!G$10:Org!G$489),SUMIF(Org!$A$10:Org!$A$489," 0422",Org!G$10:Org!G$489),SUMIF(Org!$A$10:Org!$A$489," 0442",Org!G$10:Org!G$489),SUMIF(Org!$A$10:Org!$A$489," 0451",Org!G$10:Org!G$490),SUMIF(Org!$A$10:Org!$A$489," 0473",Org!G$10:Org!G$490),SUMIF(Org!$A$10:Org!$A$489,"0474 ",Org!G$10:Org!G$489),SUMIF(Org!$A$10:Org!$A$489,"0490 ",Org!G$10:Org!G$489))</f>
        <v>1220000</v>
      </c>
      <c r="F8" s="195">
        <f t="shared" si="0"/>
        <v>128.6039396172458</v>
      </c>
      <c r="G8" s="195">
        <f t="shared" si="1"/>
        <v>121.51394422310757</v>
      </c>
      <c r="H8" s="135">
        <f t="shared" si="2"/>
        <v>8.764826193834239</v>
      </c>
      <c r="I8" s="1"/>
      <c r="J8" s="1"/>
    </row>
    <row r="9" spans="1:10" ht="14.25">
      <c r="A9" s="133" t="s">
        <v>69</v>
      </c>
      <c r="B9" s="137" t="s">
        <v>78</v>
      </c>
      <c r="C9" s="195">
        <f>SUM(SUMIF(Org!$A$10:Org!$A$489," 0510",Org!E$10:Org!E$489))</f>
        <v>0</v>
      </c>
      <c r="D9" s="195">
        <f>SUM(SUMIF(Org!$A$10:Org!$A$489," 0510",Org!F$10:Org!F$489))</f>
        <v>0</v>
      </c>
      <c r="E9" s="195">
        <f>SUM(SUMIF(Org!$A$10:Org!$A$489," 0510",Org!G$10:Org!G$489))</f>
        <v>0</v>
      </c>
      <c r="F9" s="195" t="e">
        <f t="shared" si="0"/>
        <v>#DIV/0!</v>
      </c>
      <c r="G9" s="195">
        <f t="shared" si="1"/>
        <v>0</v>
      </c>
      <c r="H9" s="135">
        <f t="shared" si="2"/>
        <v>0</v>
      </c>
      <c r="J9" s="1"/>
    </row>
    <row r="10" spans="1:10" ht="14.25">
      <c r="A10" s="133" t="s">
        <v>70</v>
      </c>
      <c r="B10" s="137" t="s">
        <v>79</v>
      </c>
      <c r="C10" s="195">
        <f>SUM(SUMIF(Org!$A$10:Org!$A$489,"0630 ",Org!E$10:Org!E$489),SUMIF(Org!$A$10:Org!$A$489,"0620",Org!E$10:Org!E$489),SUMIF(Org!$A$10:Org!$A$489,"0660",Org!E$10:Org!E$489))</f>
        <v>1365500</v>
      </c>
      <c r="D10" s="195">
        <f>SUM(SUMIF(Org!$A$10:Org!$A$489,"0630 ",Org!F$10:Org!F$489),SUMIF(Org!$A$10:Org!$A$489,"0620",Org!F$10:Org!F$489),SUMIF(Org!$A$10:Org!$A$489,"0660",Org!F$10:Org!F$489))</f>
        <v>1578850.99</v>
      </c>
      <c r="E10" s="195">
        <f>SUM(SUMIF(Org!$A$10:Org!$A$489,"0630 ",Org!G$10:Org!G$489),SUMIF(Org!$A$10:Org!$A$489,"0620",Org!G$10:Org!G$489),SUMIF(Org!$A$10:Org!$A$489,"0660",Org!G$10:Org!G$489))</f>
        <v>2721472.02</v>
      </c>
      <c r="F10" s="195">
        <f t="shared" si="0"/>
        <v>172.37041603273784</v>
      </c>
      <c r="G10" s="195">
        <f t="shared" si="1"/>
        <v>199.30223507872574</v>
      </c>
      <c r="H10" s="135">
        <f t="shared" si="2"/>
        <v>19.55182725137949</v>
      </c>
      <c r="J10" s="1"/>
    </row>
    <row r="11" spans="1:10" ht="14.25">
      <c r="A11" s="133" t="s">
        <v>71</v>
      </c>
      <c r="B11" s="138" t="s">
        <v>80</v>
      </c>
      <c r="C11" s="195">
        <f>SUM(SUMIF(Org!$A$10:Org!$A$489,"0740",Org!E$10:Org!E$489),SUMIF(Org!$A$10:Org!$A$489,"0734",Org!E$10:Org!E$489))</f>
        <v>102300</v>
      </c>
      <c r="D11" s="195">
        <f>SUM(SUMIF(Org!$A$10:Org!$A$489,"0740",Org!F$10:Org!F$489),SUMIF(Org!$A$10:Org!$A$489,"0734",Org!F$10:Org!F$489))</f>
        <v>117670</v>
      </c>
      <c r="E11" s="195">
        <f>SUM(SUMIF(Org!$A$10:Org!$A$489,"0740",Org!G$10:Org!G$489),SUMIF(Org!$A$10:Org!$A$489,"0734",Org!G$10:Org!G$489))</f>
        <v>156800</v>
      </c>
      <c r="F11" s="195">
        <f t="shared" si="0"/>
        <v>133.25401546698396</v>
      </c>
      <c r="G11" s="195">
        <f t="shared" si="1"/>
        <v>153.27468230694038</v>
      </c>
      <c r="H11" s="135">
        <f t="shared" si="2"/>
        <v>1.1264956944206628</v>
      </c>
      <c r="J11" s="1"/>
    </row>
    <row r="12" spans="1:10" ht="14.25">
      <c r="A12" s="133" t="s">
        <v>72</v>
      </c>
      <c r="B12" s="138" t="s">
        <v>81</v>
      </c>
      <c r="C12" s="195">
        <f>SUM(SUMIF(Org!$A$10:Org!$A$489,"0810",Org!E$10:E$490),SUMIF(Org!$A$10:Org!$A$490,"0820",Org!E$10:Org!E$490),SUMIF(Org!$A$10:Org!$A$490,"0830",Org!E$10:Org!E$490),SUMIF(Org!$A$10:Org!$A$489,"0840",Org!E$10:Org!E$490),SUMIF(Org!$A$10:Org!$A$489,"0860",Org!E$10:Org!E$490))-'B.pr. i prim. za nef. im.'!D89</f>
        <v>893600</v>
      </c>
      <c r="D12" s="195">
        <f>SUM(SUMIF(Org!$A$10:Org!$A$489,"0810",Org!F$10:F$490),SUMIF(Org!$A$10:Org!$A$490,"0820",Org!F$10:Org!F$490),SUMIF(Org!$A$10:Org!$A$490,"0830",Org!F$10:Org!F$490),SUMIF(Org!$A$10:Org!$A$489,"0840",Org!F$10:Org!F$490),SUMIF(Org!$A$10:Org!$A$489,"0860",Org!F$10:Org!F$490))-'B.pr. i prim. za nef. im.'!E89</f>
        <v>937336.69</v>
      </c>
      <c r="E12" s="195">
        <f>SUM(SUMIF(Org!$A$10:Org!$A$489,"0810",Org!G$10:G$490),SUMIF(Org!$A$10:Org!$A$490,"0820",Org!G$10:Org!G$490),SUMIF(Org!$A$10:Org!$A$490,"0830",Org!G$10:Org!G$490),SUMIF(Org!$A$10:Org!$A$489,"0840",Org!G$10:Org!G$490),SUMIF(Org!$A$10:Org!$A$489,"0860",Org!G$10:Org!G$490))-'B.pr. i prim. za nef. im.'!F89</f>
        <v>852600</v>
      </c>
      <c r="F12" s="195">
        <f t="shared" si="0"/>
        <v>90.95984496243288</v>
      </c>
      <c r="G12" s="195">
        <f t="shared" si="1"/>
        <v>95.41181736794987</v>
      </c>
      <c r="H12" s="135">
        <f t="shared" si="2"/>
        <v>6.125320338412354</v>
      </c>
      <c r="J12" s="1"/>
    </row>
    <row r="13" spans="1:10" ht="14.25">
      <c r="A13" s="133" t="s">
        <v>73</v>
      </c>
      <c r="B13" s="137" t="s">
        <v>82</v>
      </c>
      <c r="C13" s="195">
        <f>SUM(SUMIF(Org!$A$10:Org!$A$489,"0912",Org!E$10:Org!E$490),SUMIF(Org!$A$10:Org!$A$489,"0911",Org!E$10:Org!E$490),SUMIF(Org!$A$10:Org!$A$489,"0941",Org!E$10:Org!E$490),SUMIF(Org!$A$10:Org!$A$489,"0942",Org!E$10:Org!E$490),SUMIF(Org!$A$10:Org!$A$489,"0922",Org!E$10:Org!E$490),SUMIF(Org!$A$10:Org!$A$489,"0921",Org!E$10:Org!E$490))</f>
        <v>1046900</v>
      </c>
      <c r="D13" s="195">
        <f>SUM(SUMIF(Org!$A$10:Org!$A$489,"0912",Org!F$10:Org!F$490),SUMIF(Org!$A$10:Org!$A$489,"0911",Org!F$10:Org!F$490),SUMIF(Org!$A$10:Org!$A$489,"0941",Org!F$10:Org!F$490),SUMIF(Org!$A$10:Org!$A$489,"0942",Org!F$10:Org!F$490),SUMIF(Org!$A$10:Org!$A$489,"0922",Org!F$10:Org!F$490),SUMIF(Org!$A$10:Org!$A$489,"0921",Org!F$10:Org!F$490))</f>
        <v>1025874.1699999999</v>
      </c>
      <c r="E13" s="195">
        <f>SUM(SUMIF(Org!$A$10:Org!$A$489,"0912",Org!G$10:Org!G$490),SUMIF(Org!$A$10:Org!$A$489,"0911",Org!G$10:Org!G$490),SUMIF(Org!$A$10:Org!$A$489,"0941",Org!G$10:Org!G$490),SUMIF(Org!$A$10:Org!$A$489,"0942",Org!G$10:Org!G$490),SUMIF(Org!$A$10:Org!$A$489,"0922",Org!G$10:Org!G$490),SUMIF(Org!$A$10:Org!$A$489,"0921",Org!G$10:Org!G$490))</f>
        <v>1211050</v>
      </c>
      <c r="F13" s="195">
        <f t="shared" si="0"/>
        <v>118.05054025290451</v>
      </c>
      <c r="G13" s="195">
        <f t="shared" si="1"/>
        <v>115.67962556118063</v>
      </c>
      <c r="H13" s="135">
        <f t="shared" si="2"/>
        <v>8.700526854133567</v>
      </c>
      <c r="J13" s="385"/>
    </row>
    <row r="14" spans="1:10" ht="14.25">
      <c r="A14" s="139">
        <v>10</v>
      </c>
      <c r="B14" s="137" t="s">
        <v>83</v>
      </c>
      <c r="C14" s="195">
        <f>SUM(SUMIF(Org!$A$10:Org!$A$490,"1090",Org!E$10:Org!E$490),SUMIF(Org!$A$10:Org!$A$490,"1040",Org!E$10:Org!E$490))</f>
        <v>2817900</v>
      </c>
      <c r="D14" s="195">
        <f>SUM(SUMIF(Org!$A$10:Org!$A$490,"1090",Org!F$10:Org!F$490),SUMIF(Org!$A$10:Org!$A$490,"1040",Org!F$10:Org!F$490))</f>
        <v>2870150</v>
      </c>
      <c r="E14" s="195">
        <f>SUM(SUMIF(Org!$A$10:Org!$A$490,"1090",Org!G$10:Org!G$490),SUMIF(Org!$A$10:Org!$A$490,"1040",Org!G$10:Org!G$490))</f>
        <v>2954450</v>
      </c>
      <c r="F14" s="195">
        <f t="shared" si="0"/>
        <v>102.93712872149538</v>
      </c>
      <c r="G14" s="195">
        <f t="shared" si="1"/>
        <v>104.8458071613613</v>
      </c>
      <c r="H14" s="135">
        <f t="shared" si="2"/>
        <v>21.225607170798003</v>
      </c>
      <c r="J14" s="1"/>
    </row>
    <row r="15" spans="1:10" ht="22.5" customHeight="1" thickBot="1">
      <c r="A15" s="196"/>
      <c r="B15" s="278" t="s">
        <v>448</v>
      </c>
      <c r="C15" s="279">
        <f>SUM(C5:C14)</f>
        <v>12343600</v>
      </c>
      <c r="D15" s="279">
        <f>SUM(D5:D14)</f>
        <v>12537728.17</v>
      </c>
      <c r="E15" s="279">
        <f>SUM(E5:E14)</f>
        <v>13919272.02</v>
      </c>
      <c r="F15" s="279">
        <f>E15/D15*100</f>
        <v>111.01909238474101</v>
      </c>
      <c r="G15" s="279">
        <f>E15/C15*100</f>
        <v>112.76509300366182</v>
      </c>
      <c r="H15" s="526">
        <f t="shared" si="2"/>
        <v>100</v>
      </c>
      <c r="J15" s="1"/>
    </row>
    <row r="16" spans="3:8" ht="13.5" thickTop="1">
      <c r="C16" s="1"/>
      <c r="D16" s="1"/>
      <c r="E16" s="1"/>
      <c r="F16" s="1"/>
      <c r="G16" s="1"/>
      <c r="H16" s="1"/>
    </row>
    <row r="17" spans="1:2" ht="17.25" customHeight="1" thickBot="1">
      <c r="A17" s="624" t="s">
        <v>565</v>
      </c>
      <c r="B17" s="624"/>
    </row>
    <row r="18" spans="1:8" ht="54.75" customHeight="1" thickTop="1">
      <c r="A18" s="530" t="s">
        <v>251</v>
      </c>
      <c r="B18" s="531" t="s">
        <v>560</v>
      </c>
      <c r="C18" s="532" t="s">
        <v>526</v>
      </c>
      <c r="D18" s="532" t="s">
        <v>547</v>
      </c>
      <c r="E18" s="532" t="s">
        <v>529</v>
      </c>
      <c r="F18" s="532" t="s">
        <v>120</v>
      </c>
      <c r="G18" s="533" t="s">
        <v>120</v>
      </c>
      <c r="H18" s="534" t="s">
        <v>133</v>
      </c>
    </row>
    <row r="19" spans="1:8" ht="14.25" customHeight="1" thickBot="1">
      <c r="A19" s="535">
        <v>1</v>
      </c>
      <c r="B19" s="536">
        <v>2</v>
      </c>
      <c r="C19" s="536">
        <v>3</v>
      </c>
      <c r="D19" s="536">
        <v>4</v>
      </c>
      <c r="E19" s="536">
        <v>5</v>
      </c>
      <c r="F19" s="536" t="s">
        <v>398</v>
      </c>
      <c r="G19" s="536" t="s">
        <v>502</v>
      </c>
      <c r="H19" s="537">
        <v>7</v>
      </c>
    </row>
    <row r="20" spans="1:8" ht="12.75">
      <c r="A20" s="538" t="s">
        <v>561</v>
      </c>
      <c r="B20" s="539" t="s">
        <v>562</v>
      </c>
      <c r="C20" s="540">
        <f>C15-C21</f>
        <v>10714500</v>
      </c>
      <c r="D20" s="540">
        <f>D15-D21</f>
        <v>10843746.33</v>
      </c>
      <c r="E20" s="540">
        <f>E15-E21</f>
        <v>12076622.02</v>
      </c>
      <c r="F20" s="540">
        <f>E20/D20*100</f>
        <v>111.3694626606043</v>
      </c>
      <c r="G20" s="541">
        <f>E20/C20*100</f>
        <v>112.71288459564141</v>
      </c>
      <c r="H20" s="542">
        <f>E20/$E$22*100</f>
        <v>86.76187951961586</v>
      </c>
    </row>
    <row r="21" spans="1:8" ht="13.5" thickBot="1">
      <c r="A21" s="543" t="s">
        <v>563</v>
      </c>
      <c r="B21" s="544" t="s">
        <v>564</v>
      </c>
      <c r="C21" s="545">
        <f>SUM(SUMIF(Org!$A$10:Org!$A$490,"0734",Org!E$10:Org!E$490),SUMIF(Org!$A$10:Org!$A$490,"0740",Org!E$10:Org!E$490),SUMIF(Org!$A$10:Org!$A$490,"0810",Org!E$10:Org!E$490),SUMIF(Org!$A$10:Org!$A$490,"0820",Org!E$10:Org!E$490),SUMIF(Org!$A$10:Org!$A$490,"0911",Org!E$10:Org!E$490),SUMIF(Org!$A$10:Org!$A$490,"0912",Org!E$10:Org!E$490),SUMIF(Org!$A$10:Org!$A$490,"0921",Org!E$10:Org!E$490),SUMIF(Org!$A$10:Org!$A$490,"0922",Org!E$10:Org!E$490),SUMIF(Org!$A$10:Org!$A$490,"0941",Org!E$10:Org!E$490),SUMIF(Org!$A$10:Org!$A$490,"1040",Org!E$10:Org!E$490))-'B.pr. i prim. za nef. im.'!D88</f>
        <v>1629100</v>
      </c>
      <c r="D21" s="545">
        <f>SUM(SUMIF(Org!$A$10:Org!$A$490,"0734",Org!F$10:Org!F$490),SUMIF(Org!$A$10:Org!$A$490,"0740",Org!F$10:Org!F$490),SUMIF(Org!$A$10:Org!$A$490,"0810",Org!F$10:Org!F$490),SUMIF(Org!$A$10:Org!$A$490,"0820",Org!F$10:Org!F$490),SUMIF(Org!$A$10:Org!$A$490,"0911",Org!F$10:Org!F$490),SUMIF(Org!$A$10:Org!$A$490,"0912",Org!F$10:Org!F$490),SUMIF(Org!$A$10:Org!$A$490,"0921",Org!F$10:Org!F$490),SUMIF(Org!$A$10:Org!$A$490,"0922",Org!F$10:Org!F$490),SUMIF(Org!$A$10:Org!$A$490,"0941",Org!F$10:Org!F$490),SUMIF(Org!$A$10:Org!$A$490,"1040",Org!F$10:Org!F$490))-'B.pr. i prim. za nef. im.'!E88</f>
        <v>1693981.8399999999</v>
      </c>
      <c r="E21" s="545">
        <f>SUM(SUMIF(Org!$A$10:Org!$A$490,"0734",Org!G$10:Org!G$490),SUMIF(Org!$A$10:Org!$A$490,"0740",Org!G$10:Org!G$490),SUMIF(Org!$A$10:Org!$A$490,"0810",Org!G$10:Org!G$490),SUMIF(Org!$A$10:Org!$A$490,"0820",Org!G$10:Org!G$490),SUMIF(Org!$A$10:Org!$A$490,"0911",Org!G$10:Org!G$490),SUMIF(Org!$A$10:Org!$A$490,"0912",Org!G$10:Org!G$490),SUMIF(Org!$A$10:Org!$A$490,"0921",Org!G$10:Org!G$490),SUMIF(Org!$A$10:Org!$A$490,"0922",Org!G$10:Org!G$490),SUMIF(Org!$A$10:Org!$A$490,"0941",Org!G$10:Org!G$490),SUMIF(Org!$A$10:Org!$A$490,"1040",Org!G$10:Org!G$490))-'B.pr. i prim. za nef. im.'!F88</f>
        <v>1842650</v>
      </c>
      <c r="F21" s="546">
        <f>E21/D21*100</f>
        <v>108.77625464981374</v>
      </c>
      <c r="G21" s="547">
        <f>E21/C21*100</f>
        <v>113.10846479651342</v>
      </c>
      <c r="H21" s="548">
        <f>E21/$E$22*100</f>
        <v>13.238120480384147</v>
      </c>
    </row>
    <row r="22" spans="1:8" ht="20.25" customHeight="1" thickBot="1">
      <c r="A22" s="196"/>
      <c r="B22" s="278" t="s">
        <v>448</v>
      </c>
      <c r="C22" s="279">
        <f>SUM(C20:C21)</f>
        <v>12343600</v>
      </c>
      <c r="D22" s="279">
        <f>SUM(D20:D21)</f>
        <v>12537728.17</v>
      </c>
      <c r="E22" s="279">
        <f>SUM(E20:E21)</f>
        <v>13919272.02</v>
      </c>
      <c r="F22" s="279">
        <f>E22/D22*100</f>
        <v>111.01909238474101</v>
      </c>
      <c r="G22" s="549">
        <f>E22/C22*100</f>
        <v>112.76509300366182</v>
      </c>
      <c r="H22" s="550">
        <f>E22/$E$22*100</f>
        <v>100</v>
      </c>
    </row>
    <row r="23" spans="1:8" ht="13.5" thickTop="1">
      <c r="A23" s="198"/>
      <c r="B23" s="198"/>
      <c r="C23" s="198"/>
      <c r="D23" s="198"/>
      <c r="E23" s="198"/>
      <c r="F23" s="198"/>
      <c r="G23" s="198"/>
      <c r="H23" s="198"/>
    </row>
    <row r="24" spans="1:8" ht="12.75">
      <c r="A24" s="198"/>
      <c r="B24" s="198"/>
      <c r="C24" s="198"/>
      <c r="D24" s="198"/>
      <c r="E24" s="198"/>
      <c r="F24" s="198"/>
      <c r="G24" s="198"/>
      <c r="H24" s="198"/>
    </row>
    <row r="25" spans="1:8" ht="12.75">
      <c r="A25" s="198"/>
      <c r="B25" s="277"/>
      <c r="C25" s="198"/>
      <c r="D25" s="198"/>
      <c r="E25" s="198"/>
      <c r="F25" s="198"/>
      <c r="G25" s="198"/>
      <c r="H25" s="198"/>
    </row>
    <row r="26" spans="1:8" ht="12.75">
      <c r="A26" s="198"/>
      <c r="B26" s="302"/>
      <c r="C26" s="198"/>
      <c r="D26" s="198"/>
      <c r="E26" s="198"/>
      <c r="F26" s="198"/>
      <c r="G26" s="198"/>
      <c r="H26" s="198"/>
    </row>
    <row r="27" spans="1:8" ht="12.75">
      <c r="A27" s="198"/>
      <c r="B27" s="277"/>
      <c r="C27" s="277"/>
      <c r="D27" s="277"/>
      <c r="E27" s="277"/>
      <c r="F27" s="277"/>
      <c r="G27" s="198"/>
      <c r="H27" s="198"/>
    </row>
    <row r="28" spans="3:7" ht="12.75">
      <c r="C28" s="63"/>
      <c r="D28" s="63"/>
      <c r="E28" s="63"/>
      <c r="F28" s="63"/>
      <c r="G28" s="63"/>
    </row>
  </sheetData>
  <sheetProtection/>
  <mergeCells count="3">
    <mergeCell ref="A1:H1"/>
    <mergeCell ref="A2:B2"/>
    <mergeCell ref="A17:B17"/>
  </mergeCells>
  <printOptions horizontalCentered="1"/>
  <pageMargins left="0.16" right="0.16" top="0.55" bottom="0.53" header="0.53" footer="0.33"/>
  <pageSetup horizontalDpi="600" verticalDpi="600" orientation="landscape" paperSize="9" scale="110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2017-11-24T08:11:43Z</cp:lastPrinted>
  <dcterms:created xsi:type="dcterms:W3CDTF">2006-03-15T13:27:57Z</dcterms:created>
  <dcterms:modified xsi:type="dcterms:W3CDTF">2017-11-24T13:21:50Z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